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dtir\Documents\RECUPONEDRIVE\000000-GS\2024-2025 SAISON CD\PLAN DE TIR 2024-2025\02-CDFC\RESULTATS\"/>
    </mc:Choice>
  </mc:AlternateContent>
  <xr:revisionPtr revIDLastSave="0" documentId="13_ncr:1_{83147B62-59AD-472A-A38D-AC33DE65EBE6}" xr6:coauthVersionLast="36" xr6:coauthVersionMax="36" xr10:uidLastSave="{00000000-0000-0000-0000-000000000000}"/>
  <bookViews>
    <workbookView xWindow="0" yWindow="0" windowWidth="15360" windowHeight="7425" tabRatio="960" activeTab="1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AL21" i="37" s="1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0" i="37" l="1"/>
  <c r="M11" i="36"/>
  <c r="AL25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R37" i="36"/>
  <c r="H38" i="36"/>
  <c r="C40" i="36"/>
  <c r="H56" i="36" s="1"/>
  <c r="H40" i="36"/>
  <c r="R39" i="36"/>
  <c r="M38" i="36"/>
  <c r="M54" i="36" s="1"/>
  <c r="R38" i="36"/>
  <c r="M36" i="36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M52" i="36" l="1"/>
  <c r="H69" i="36"/>
  <c r="H70" i="36"/>
  <c r="H68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<sst xmlns="http://schemas.openxmlformats.org/spreadsheetml/2006/main" count="207" uniqueCount="81">
  <si>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</si>
  <si>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</si>
  <si>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</si>
  <si>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</si>
  <si>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</si>
  <si>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</si>
  <si>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</si>
  <si>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</si>
  <si>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</si>
  <si>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</si>
  <si>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</si>
  <si>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</si>
  <si>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</si>
  <si>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</si>
  <si>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</si>
  <si>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</si>
  <si>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</si>
  <si>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</si>
  <si>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</si>
  <si>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</si>
  <si>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</si>
  <si>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</si>
  <si>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</si>
  <si>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</si>
  <si>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</si>
  <si>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</si>
  <si>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</si>
  <si>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</si>
  <si>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</si>
  <si>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</si>
  <si>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</si>
  <si>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</si>
  <si>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</si>
  <si>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</si>
  <si>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</si>
  <si>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</si>
  <si>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</si>
  <si>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</si>
  <si>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</si>
  <si>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</si>
  <si>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</si>
  <si>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</si>
  <si>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</si>
  <si>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</si>
  <si>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</si>
  <si>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</si>
  <si>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</si>
  <si>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</si>
  <si>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</si>
  <si>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</si>
  <si>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</si>
  <si>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</si>
  <si>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</si>
  <si>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</si>
  <si>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</si>
  <si>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</si>
  <si>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CIBLE DE L'ARVE</t>
  </si>
  <si>
    <t>2024/2025</t>
  </si>
  <si>
    <t>DAUPHINE SAVOIE</t>
  </si>
  <si>
    <t>Emmanuel LAMBERT</t>
  </si>
  <si>
    <t>+33 6 95 88 76 26</t>
  </si>
  <si>
    <t>cdtir74@gmail.com</t>
  </si>
  <si>
    <t>LA SALESIENNE 1</t>
  </si>
  <si>
    <t>Cammarata Annick</t>
  </si>
  <si>
    <t>Vanelstraete Nathan</t>
  </si>
  <si>
    <t>Batoux Sophie</t>
  </si>
  <si>
    <t>Joly Stéphanie</t>
  </si>
  <si>
    <t>CTR Rumilly</t>
  </si>
  <si>
    <t>Aymard Léane</t>
  </si>
  <si>
    <t>Martinez Agathe</t>
  </si>
  <si>
    <t>Jarcin Nathalie</t>
  </si>
  <si>
    <t>Letournel Solène</t>
  </si>
  <si>
    <t>Maillet Denis</t>
  </si>
  <si>
    <t>Hochart Pierre</t>
  </si>
  <si>
    <t>Abbe Timéo</t>
  </si>
  <si>
    <t>Montauriol Ludovic</t>
  </si>
  <si>
    <t>Legal Adeline</t>
  </si>
  <si>
    <t>Ismail Féthi</t>
  </si>
  <si>
    <t>Greco Laura</t>
  </si>
  <si>
    <t>CARABINE 10M</t>
  </si>
  <si>
    <t>LA SALESIENNE 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</si>
</sst>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quotePrefix="1" applyFont="1" applyFill="1" applyBorder="1" applyAlignment="1" applyProtection="1">
      <alignment horizontal="left" vertical="center" indent="1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9" sqref="B9"/>
    </sheetView>
  </sheetViews>
  <sheetFormatPr baseColWidth="10" defaultColWidth="10.625" defaultRowHeight="12.75"/>
  <cols>
    <col min="1" max="1" width="17.625" style="77" customWidth="1"/>
    <col min="2" max="2" width="29.625" style="77" customWidth="1"/>
    <col min="3" max="3" width="30.875" style="77" customWidth="1"/>
    <col min="4" max="4" width="2.625" style="77" customWidth="1"/>
    <col min="5" max="16384" width="10.625" style="77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8" t="s">
        <v>27</v>
      </c>
      <c r="B4" s="63">
        <v>44207</v>
      </c>
      <c r="C4" s="79"/>
    </row>
    <row r="5" spans="1:3" ht="24.95" customHeight="1">
      <c r="A5" s="78" t="s">
        <v>28</v>
      </c>
      <c r="B5" s="6" t="s">
        <v>56</v>
      </c>
      <c r="C5" s="79"/>
    </row>
    <row r="6" spans="1:3" ht="24.95" customHeight="1">
      <c r="A6" s="78" t="s">
        <v>25</v>
      </c>
      <c r="B6" s="45" t="s">
        <v>57</v>
      </c>
      <c r="C6" s="79"/>
    </row>
    <row r="7" spans="1:3" ht="24.95" customHeight="1">
      <c r="A7" s="78" t="s">
        <v>6</v>
      </c>
      <c r="B7" s="6" t="s">
        <v>79</v>
      </c>
      <c r="C7" s="79" t="s">
        <v>24</v>
      </c>
    </row>
    <row r="8" spans="1:3" ht="24.95" customHeight="1">
      <c r="A8" s="78" t="s">
        <v>17</v>
      </c>
      <c r="B8" s="76">
        <v>3</v>
      </c>
      <c r="C8" s="79"/>
    </row>
    <row r="9" spans="1:3" ht="24.95" customHeight="1">
      <c r="A9" s="5" t="s">
        <v>23</v>
      </c>
      <c r="B9" s="56" t="s">
        <v>58</v>
      </c>
      <c r="C9" s="79" t="s">
        <v>19</v>
      </c>
    </row>
    <row r="10" spans="1:3" ht="24.95" customHeight="1">
      <c r="A10" s="80"/>
      <c r="B10" s="80"/>
      <c r="C10" s="81"/>
    </row>
    <row r="11" spans="1:3" ht="24.95" customHeight="1">
      <c r="A11" s="236" t="s">
        <v>13</v>
      </c>
      <c r="B11" s="236"/>
      <c r="C11" s="236"/>
    </row>
    <row r="12" spans="1:3" ht="30" customHeight="1">
      <c r="A12" s="78" t="s">
        <v>7</v>
      </c>
      <c r="B12" s="9" t="s">
        <v>59</v>
      </c>
      <c r="C12" s="82"/>
    </row>
    <row r="13" spans="1:3" ht="30" customHeight="1">
      <c r="A13" s="5" t="s">
        <v>8</v>
      </c>
      <c r="B13" s="230" t="s">
        <v>60</v>
      </c>
      <c r="C13" s="79"/>
    </row>
    <row r="14" spans="1:3" ht="30" customHeight="1">
      <c r="A14" s="5" t="s">
        <v>20</v>
      </c>
      <c r="B14" s="10" t="s">
        <v>61</v>
      </c>
      <c r="C14" s="83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4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abSelected="1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activeCell="C10" sqref="C10"/>
    </sheetView>
  </sheetViews>
  <sheetFormatPr baseColWidth="10" defaultColWidth="10.625" defaultRowHeight="45" outlineLevelCol="1"/>
  <cols>
    <col min="1" max="1" width="31.125" style="120" bestFit="1" customWidth="1"/>
    <col min="2" max="2" width="35.875" style="121" customWidth="1" outlineLevel="1"/>
    <col min="3" max="3" width="64" style="122" bestFit="1" customWidth="1"/>
    <col min="4" max="4" width="33.625" style="122" customWidth="1"/>
    <col min="5" max="5" width="100.375" style="122" customWidth="1"/>
    <col min="6" max="8" width="20.125" style="86" customWidth="1"/>
    <col min="9" max="9" width="27.125" style="86" customWidth="1"/>
    <col min="10" max="10" width="10.875" style="86" hidden="1" customWidth="1"/>
    <col min="11" max="11" width="100.375" style="122" customWidth="1"/>
    <col min="12" max="12" width="20.125" style="123" customWidth="1"/>
    <col min="13" max="14" width="20.125" style="86" customWidth="1"/>
    <col min="15" max="15" width="23.875" style="86" customWidth="1"/>
    <col min="16" max="16" width="10.5" style="86" hidden="1" customWidth="1"/>
    <col min="17" max="17" width="100.375" style="122" customWidth="1"/>
    <col min="18" max="19" width="20.125" style="86" customWidth="1"/>
    <col min="20" max="20" width="20.125" style="123" customWidth="1"/>
    <col min="21" max="21" width="23.625" style="86" customWidth="1"/>
    <col min="22" max="22" width="10.625" style="86" hidden="1" customWidth="1"/>
    <col min="23" max="23" width="100.375" style="122" customWidth="1"/>
    <col min="24" max="26" width="20.125" style="86" customWidth="1"/>
    <col min="27" max="27" width="22.375" style="86" customWidth="1"/>
    <col min="28" max="28" width="10.625" style="86" hidden="1" customWidth="1"/>
    <col min="29" max="29" width="100.375" style="124" customWidth="1"/>
    <col min="30" max="32" width="20.125" style="86" customWidth="1"/>
    <col min="33" max="33" width="23.125" style="86" customWidth="1"/>
    <col min="34" max="34" width="10.625" style="86" hidden="1" customWidth="1"/>
    <col min="35" max="35" width="26.875" style="86" customWidth="1"/>
    <col min="36" max="36" width="0.5" style="125" customWidth="1"/>
    <col min="37" max="37" width="9.375" style="85" customWidth="1"/>
    <col min="38" max="38" width="73.625" style="86" hidden="1" customWidth="1" outlineLevel="1"/>
    <col min="39" max="39" width="14.625" style="85" customWidth="1" collapsed="1"/>
    <col min="40" max="45" width="14.625" style="85" customWidth="1"/>
    <col min="46" max="16384" width="10.625" style="85"/>
  </cols>
  <sheetData>
    <row r="1" spans="1:38" ht="44.1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38" ht="93.9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8" ht="83.1" customHeight="1">
      <c r="A3" s="246" t="str">
        <f>CONCATENATE("MATCH DE QUALIFICATION"," - ",INFO!B7," - ",INFO!B9)</f>
        <v>MATCH DE QUALIFICATION - CARABINE 10M - DAUPHINE SAVOIE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</row>
    <row r="4" spans="1:38" ht="83.1" customHeight="1" thickBo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</row>
    <row r="5" spans="1:38" s="90" customFormat="1" ht="63.95" customHeight="1" thickTop="1">
      <c r="A5" s="253" t="s">
        <v>45</v>
      </c>
      <c r="B5" s="259" t="s">
        <v>49</v>
      </c>
      <c r="C5" s="239" t="s">
        <v>42</v>
      </c>
      <c r="D5" s="255" t="s">
        <v>47</v>
      </c>
      <c r="E5" s="87" t="s">
        <v>38</v>
      </c>
      <c r="F5" s="257" t="s">
        <v>39</v>
      </c>
      <c r="G5" s="257"/>
      <c r="H5" s="257"/>
      <c r="I5" s="257" t="s">
        <v>40</v>
      </c>
      <c r="J5" s="241" t="s">
        <v>52</v>
      </c>
      <c r="K5" s="88" t="s">
        <v>38</v>
      </c>
      <c r="L5" s="239" t="s">
        <v>39</v>
      </c>
      <c r="M5" s="239"/>
      <c r="N5" s="239"/>
      <c r="O5" s="239" t="s">
        <v>40</v>
      </c>
      <c r="P5" s="243" t="s">
        <v>52</v>
      </c>
      <c r="Q5" s="88" t="s">
        <v>38</v>
      </c>
      <c r="R5" s="239" t="s">
        <v>39</v>
      </c>
      <c r="S5" s="239"/>
      <c r="T5" s="239"/>
      <c r="U5" s="239" t="s">
        <v>40</v>
      </c>
      <c r="V5" s="251" t="s">
        <v>52</v>
      </c>
      <c r="W5" s="88" t="s">
        <v>38</v>
      </c>
      <c r="X5" s="239" t="s">
        <v>39</v>
      </c>
      <c r="Y5" s="239"/>
      <c r="Z5" s="239"/>
      <c r="AA5" s="239" t="s">
        <v>40</v>
      </c>
      <c r="AB5" s="243" t="s">
        <v>52</v>
      </c>
      <c r="AC5" s="88" t="s">
        <v>38</v>
      </c>
      <c r="AD5" s="239" t="s">
        <v>39</v>
      </c>
      <c r="AE5" s="239"/>
      <c r="AF5" s="239"/>
      <c r="AG5" s="239" t="s">
        <v>40</v>
      </c>
      <c r="AH5" s="243" t="s">
        <v>52</v>
      </c>
      <c r="AI5" s="260" t="s">
        <v>50</v>
      </c>
      <c r="AJ5" s="249" t="s">
        <v>44</v>
      </c>
      <c r="AK5" s="89"/>
      <c r="AL5" s="248" t="s">
        <v>43</v>
      </c>
    </row>
    <row r="6" spans="1:38" s="90" customFormat="1" ht="72" customHeight="1" thickBot="1">
      <c r="A6" s="254"/>
      <c r="B6" s="240"/>
      <c r="C6" s="240"/>
      <c r="D6" s="256"/>
      <c r="E6" s="91" t="s">
        <v>30</v>
      </c>
      <c r="F6" s="92">
        <v>1</v>
      </c>
      <c r="G6" s="92">
        <v>2</v>
      </c>
      <c r="H6" s="92">
        <v>3</v>
      </c>
      <c r="I6" s="258"/>
      <c r="J6" s="242"/>
      <c r="K6" s="93" t="s">
        <v>2</v>
      </c>
      <c r="L6" s="94">
        <v>1</v>
      </c>
      <c r="M6" s="94">
        <v>2</v>
      </c>
      <c r="N6" s="94">
        <v>3</v>
      </c>
      <c r="O6" s="240"/>
      <c r="P6" s="244"/>
      <c r="Q6" s="93" t="s">
        <v>3</v>
      </c>
      <c r="R6" s="94">
        <v>1</v>
      </c>
      <c r="S6" s="94">
        <v>2</v>
      </c>
      <c r="T6" s="94">
        <v>3</v>
      </c>
      <c r="U6" s="240"/>
      <c r="V6" s="252"/>
      <c r="W6" s="93" t="s">
        <v>4</v>
      </c>
      <c r="X6" s="94">
        <v>1</v>
      </c>
      <c r="Y6" s="94">
        <v>2</v>
      </c>
      <c r="Z6" s="94">
        <v>3</v>
      </c>
      <c r="AA6" s="240"/>
      <c r="AB6" s="244"/>
      <c r="AC6" s="93" t="s">
        <v>5</v>
      </c>
      <c r="AD6" s="94">
        <v>1</v>
      </c>
      <c r="AE6" s="94">
        <v>2</v>
      </c>
      <c r="AF6" s="94">
        <v>3</v>
      </c>
      <c r="AG6" s="240"/>
      <c r="AH6" s="244"/>
      <c r="AI6" s="261"/>
      <c r="AJ6" s="250"/>
      <c r="AL6" s="248"/>
    </row>
    <row r="7" spans="1:38" s="103" customFormat="1" ht="120" customHeight="1" thickTop="1">
      <c r="A7" s="95">
        <v>1</v>
      </c>
      <c r="B7" s="150">
        <f t="shared" ref="B7:B26" si="0">RANK(AL7,$AL$7:$AL$26,0)</f>
        <v>1</v>
      </c>
      <c r="C7" s="96" t="s">
        <v>62</v>
      </c>
      <c r="D7" s="107">
        <v>2074155</v>
      </c>
      <c r="E7" s="98" t="s">
        <v>63</v>
      </c>
      <c r="F7" s="153">
        <v>98.5</v>
      </c>
      <c r="G7" s="153">
        <v>99.9</v>
      </c>
      <c r="H7" s="153">
        <v>99.5</v>
      </c>
      <c r="I7" s="154">
        <f t="shared" ref="I7" si="1">SUM(F7:H7)</f>
        <v>297.89999999999998</v>
      </c>
      <c r="J7" s="99"/>
      <c r="K7" s="100" t="s">
        <v>64</v>
      </c>
      <c r="L7" s="153">
        <v>99.9</v>
      </c>
      <c r="M7" s="153">
        <v>97.2</v>
      </c>
      <c r="N7" s="159">
        <v>98</v>
      </c>
      <c r="O7" s="160">
        <f t="shared" ref="O7" si="2">SUM(L7:N7)</f>
        <v>295.10000000000002</v>
      </c>
      <c r="P7" s="101"/>
      <c r="Q7" s="100" t="s">
        <v>65</v>
      </c>
      <c r="R7" s="153">
        <v>93.9</v>
      </c>
      <c r="S7" s="153">
        <v>95.5</v>
      </c>
      <c r="T7" s="159">
        <v>96.2</v>
      </c>
      <c r="U7" s="160">
        <f t="shared" ref="U7" si="3">SUM(R7:T7)</f>
        <v>285.60000000000002</v>
      </c>
      <c r="V7" s="101"/>
      <c r="W7" s="100" t="s">
        <v>70</v>
      </c>
      <c r="X7" s="153">
        <v>93.9</v>
      </c>
      <c r="Y7" s="153">
        <v>98.1</v>
      </c>
      <c r="Z7" s="159">
        <v>97.4</v>
      </c>
      <c r="AA7" s="160">
        <f t="shared" ref="AA7" si="4">SUM(X7:Z7)</f>
        <v>289.39999999999998</v>
      </c>
      <c r="AB7" s="101"/>
      <c r="AC7" s="100" t="s">
        <v>66</v>
      </c>
      <c r="AD7" s="153">
        <v>98.3</v>
      </c>
      <c r="AE7" s="153">
        <v>99.5</v>
      </c>
      <c r="AF7" s="159">
        <v>98.9</v>
      </c>
      <c r="AG7" s="160">
        <f t="shared" ref="AG7" si="5">SUM(AD7:AF7)</f>
        <v>296.70000000000005</v>
      </c>
      <c r="AH7" s="101"/>
      <c r="AI7" s="165">
        <f>SUM(I7+O7+U7+AA7+AG7)</f>
        <v>1464.7</v>
      </c>
      <c r="AJ7" s="102">
        <f>J7+P7+V7+AB7+AH7</f>
        <v>0</v>
      </c>
      <c r="AL7" s="104">
        <f>I7+O7+U7+AA7+AG7+(0.000001*(J7+P7+V7+AB7+AH7))+(0.000000001*(H7+N7+T7+Z7+AF7))+(0.000000000001*(G7+M7+S7+Y7+AE7))</f>
        <v>1464.7000004904903</v>
      </c>
    </row>
    <row r="8" spans="1:38" s="103" customFormat="1" ht="120" customHeight="1">
      <c r="A8" s="105">
        <v>2</v>
      </c>
      <c r="B8" s="151">
        <f t="shared" si="0"/>
        <v>2</v>
      </c>
      <c r="C8" s="106" t="s">
        <v>67</v>
      </c>
      <c r="D8" s="97">
        <v>2074059</v>
      </c>
      <c r="E8" s="108" t="s">
        <v>68</v>
      </c>
      <c r="F8" s="155">
        <v>94.7</v>
      </c>
      <c r="G8" s="155">
        <v>97.3</v>
      </c>
      <c r="H8" s="155">
        <v>92.1</v>
      </c>
      <c r="I8" s="156">
        <f>SUM(F8:H8)</f>
        <v>284.10000000000002</v>
      </c>
      <c r="J8" s="109"/>
      <c r="K8" s="110" t="s">
        <v>69</v>
      </c>
      <c r="L8" s="155">
        <v>97.6</v>
      </c>
      <c r="M8" s="155">
        <v>83.4</v>
      </c>
      <c r="N8" s="161">
        <v>91.9</v>
      </c>
      <c r="O8" s="162">
        <f>SUM(L8:N8)</f>
        <v>272.89999999999998</v>
      </c>
      <c r="P8" s="111"/>
      <c r="Q8" s="110" t="s">
        <v>78</v>
      </c>
      <c r="R8" s="155">
        <v>83.4</v>
      </c>
      <c r="S8" s="155">
        <v>80.099999999999994</v>
      </c>
      <c r="T8" s="161">
        <v>87.5</v>
      </c>
      <c r="U8" s="162">
        <f>SUM(R8:T8)</f>
        <v>251</v>
      </c>
      <c r="V8" s="111"/>
      <c r="W8" s="110" t="s">
        <v>71</v>
      </c>
      <c r="X8" s="155">
        <v>93</v>
      </c>
      <c r="Y8" s="155">
        <v>86.9</v>
      </c>
      <c r="Z8" s="161">
        <v>92.1</v>
      </c>
      <c r="AA8" s="162">
        <f>SUM(X8:Z8)</f>
        <v>272</v>
      </c>
      <c r="AB8" s="111"/>
      <c r="AC8" s="110" t="s">
        <v>72</v>
      </c>
      <c r="AD8" s="155">
        <v>87.6</v>
      </c>
      <c r="AE8" s="155">
        <v>85.2</v>
      </c>
      <c r="AF8" s="161">
        <v>89.3</v>
      </c>
      <c r="AG8" s="162">
        <f>SUM(AD8:AF8)</f>
        <v>262.10000000000002</v>
      </c>
      <c r="AH8" s="111"/>
      <c r="AI8" s="166">
        <f>SUM(I8+O8+U8+AA8+AG8)</f>
        <v>1342.1</v>
      </c>
      <c r="AJ8" s="112">
        <f t="shared" ref="AJ8:AJ26" si="6">J8+P8+V8+AB8+AH8</f>
        <v>0</v>
      </c>
      <c r="AL8" s="104">
        <f t="shared" ref="AL8:AL26" si="7">I8+O8+U8+AA8+AG8+(0.000001*(J8+P8+V8+AB8+AH8))+(0.000000001*(H8+N8+T8+Z8+AF8))+(0.000000000001*(G8+M8+S8+Y8+AE8))</f>
        <v>1342.1000004533328</v>
      </c>
    </row>
    <row r="9" spans="1:38" s="103" customFormat="1" ht="120" customHeight="1">
      <c r="A9" s="105">
        <v>3</v>
      </c>
      <c r="B9" s="151">
        <f t="shared" si="0"/>
        <v>3</v>
      </c>
      <c r="C9" s="96" t="s">
        <v>80</v>
      </c>
      <c r="D9" s="107">
        <v>2074155</v>
      </c>
      <c r="E9" s="108" t="s">
        <v>73</v>
      </c>
      <c r="F9" s="155">
        <v>95.9</v>
      </c>
      <c r="G9" s="155">
        <v>97.1</v>
      </c>
      <c r="H9" s="155">
        <v>98.6</v>
      </c>
      <c r="I9" s="156">
        <f>SUM(F9:H9)</f>
        <v>291.60000000000002</v>
      </c>
      <c r="J9" s="109"/>
      <c r="K9" s="155" t="s">
        <v>74</v>
      </c>
      <c r="L9" s="155">
        <v>97.6</v>
      </c>
      <c r="M9" s="155">
        <v>97.1</v>
      </c>
      <c r="N9" s="161">
        <v>100</v>
      </c>
      <c r="O9" s="162">
        <f>SUM(L9:N9)</f>
        <v>294.7</v>
      </c>
      <c r="P9" s="111"/>
      <c r="Q9" s="110" t="s">
        <v>75</v>
      </c>
      <c r="R9" s="155">
        <v>71.400000000000006</v>
      </c>
      <c r="S9" s="155">
        <v>80.8</v>
      </c>
      <c r="T9" s="161">
        <v>87.5</v>
      </c>
      <c r="U9" s="162">
        <f>SUM(R9:T9)</f>
        <v>239.7</v>
      </c>
      <c r="V9" s="111"/>
      <c r="W9" s="110" t="s">
        <v>76</v>
      </c>
      <c r="X9" s="155">
        <v>88.6</v>
      </c>
      <c r="Y9" s="155">
        <v>84.7</v>
      </c>
      <c r="Z9" s="161">
        <v>91.8</v>
      </c>
      <c r="AA9" s="162">
        <f>SUM(X9:Z9)</f>
        <v>265.10000000000002</v>
      </c>
      <c r="AB9" s="111"/>
      <c r="AC9" s="110" t="s">
        <v>77</v>
      </c>
      <c r="AD9" s="155">
        <v>78.7</v>
      </c>
      <c r="AE9" s="155">
        <v>77.900000000000006</v>
      </c>
      <c r="AF9" s="161">
        <v>83.5</v>
      </c>
      <c r="AG9" s="162">
        <f>SUM(AD9:AF9)</f>
        <v>240.10000000000002</v>
      </c>
      <c r="AH9" s="111"/>
      <c r="AI9" s="166">
        <f>SUM(I9+O9+U9+AA9+AG9)</f>
        <v>1331.1999999999998</v>
      </c>
      <c r="AJ9" s="112">
        <f t="shared" si="6"/>
        <v>0</v>
      </c>
      <c r="AL9" s="104">
        <f t="shared" si="7"/>
        <v>1331.2000004618376</v>
      </c>
    </row>
    <row r="10" spans="1:38" s="103" customFormat="1" ht="120" customHeight="1">
      <c r="A10" s="105">
        <v>4</v>
      </c>
      <c r="B10" s="151">
        <f t="shared" si="0"/>
        <v>4</v>
      </c>
      <c r="C10" s="106"/>
      <c r="D10" s="107"/>
      <c r="E10" s="108"/>
      <c r="F10" s="155"/>
      <c r="G10" s="155"/>
      <c r="H10" s="155"/>
      <c r="I10" s="156">
        <f t="shared" ref="I10:I26" si="8">SUM(F10:H10)</f>
        <v>0</v>
      </c>
      <c r="J10" s="109"/>
      <c r="K10" s="110"/>
      <c r="L10" s="155"/>
      <c r="M10" s="155"/>
      <c r="N10" s="161"/>
      <c r="O10" s="162">
        <f t="shared" ref="O10:O26" si="9">SUM(L10:N10)</f>
        <v>0</v>
      </c>
      <c r="P10" s="111"/>
      <c r="Q10" s="110"/>
      <c r="R10" s="155"/>
      <c r="S10" s="155"/>
      <c r="T10" s="161"/>
      <c r="U10" s="162">
        <f t="shared" ref="U10:U26" si="10">SUM(R10:T10)</f>
        <v>0</v>
      </c>
      <c r="V10" s="111"/>
      <c r="W10" s="110"/>
      <c r="X10" s="155"/>
      <c r="Y10" s="155"/>
      <c r="Z10" s="161"/>
      <c r="AA10" s="162">
        <f t="shared" ref="AA10:AA26" si="11">SUM(X10:Z10)</f>
        <v>0</v>
      </c>
      <c r="AB10" s="111"/>
      <c r="AC10" s="110"/>
      <c r="AD10" s="155"/>
      <c r="AE10" s="155"/>
      <c r="AF10" s="161"/>
      <c r="AG10" s="162">
        <f t="shared" ref="AG10:AG26" si="12">SUM(AD10:AF10)</f>
        <v>0</v>
      </c>
      <c r="AH10" s="111"/>
      <c r="AI10" s="166">
        <f t="shared" ref="AI10:AI26" si="13">SUM(I10+O10+U10+AA10+AG10)</f>
        <v>0</v>
      </c>
      <c r="AJ10" s="112">
        <f t="shared" si="6"/>
        <v>0</v>
      </c>
      <c r="AL10" s="104">
        <f t="shared" si="7"/>
        <v>0</v>
      </c>
    </row>
    <row r="11" spans="1:38" s="103" customFormat="1" ht="120" customHeight="1">
      <c r="A11" s="105">
        <v>5</v>
      </c>
      <c r="B11" s="151">
        <f t="shared" si="0"/>
        <v>4</v>
      </c>
      <c r="C11" s="106"/>
      <c r="D11" s="107"/>
      <c r="E11" s="108"/>
      <c r="F11" s="155"/>
      <c r="G11" s="155"/>
      <c r="H11" s="155"/>
      <c r="I11" s="156">
        <f t="shared" si="8"/>
        <v>0</v>
      </c>
      <c r="J11" s="109"/>
      <c r="K11" s="110"/>
      <c r="L11" s="155"/>
      <c r="M11" s="155"/>
      <c r="N11" s="161"/>
      <c r="O11" s="162">
        <f t="shared" si="9"/>
        <v>0</v>
      </c>
      <c r="P11" s="111"/>
      <c r="Q11" s="110"/>
      <c r="R11" s="155"/>
      <c r="S11" s="155"/>
      <c r="T11" s="161"/>
      <c r="U11" s="162">
        <f t="shared" si="10"/>
        <v>0</v>
      </c>
      <c r="V11" s="111"/>
      <c r="W11" s="110"/>
      <c r="X11" s="155"/>
      <c r="Y11" s="155"/>
      <c r="Z11" s="161"/>
      <c r="AA11" s="162">
        <f t="shared" si="11"/>
        <v>0</v>
      </c>
      <c r="AB11" s="111"/>
      <c r="AC11" s="110"/>
      <c r="AD11" s="155"/>
      <c r="AE11" s="155"/>
      <c r="AF11" s="161"/>
      <c r="AG11" s="162">
        <f t="shared" si="12"/>
        <v>0</v>
      </c>
      <c r="AH11" s="111"/>
      <c r="AI11" s="166">
        <f t="shared" si="13"/>
        <v>0</v>
      </c>
      <c r="AJ11" s="112">
        <f t="shared" si="6"/>
        <v>0</v>
      </c>
      <c r="AL11" s="104">
        <f t="shared" si="7"/>
        <v>0</v>
      </c>
    </row>
    <row r="12" spans="1:38" s="103" customFormat="1" ht="120" customHeight="1">
      <c r="A12" s="105">
        <v>6</v>
      </c>
      <c r="B12" s="151">
        <f t="shared" si="0"/>
        <v>4</v>
      </c>
      <c r="C12" s="106"/>
      <c r="D12" s="107"/>
      <c r="E12" s="108"/>
      <c r="F12" s="155"/>
      <c r="G12" s="155"/>
      <c r="H12" s="155"/>
      <c r="I12" s="156">
        <f t="shared" si="8"/>
        <v>0</v>
      </c>
      <c r="J12" s="109"/>
      <c r="K12" s="110"/>
      <c r="L12" s="155"/>
      <c r="M12" s="155"/>
      <c r="N12" s="161"/>
      <c r="O12" s="162">
        <f t="shared" si="9"/>
        <v>0</v>
      </c>
      <c r="P12" s="111"/>
      <c r="Q12" s="110"/>
      <c r="R12" s="155"/>
      <c r="S12" s="155"/>
      <c r="T12" s="161"/>
      <c r="U12" s="162">
        <f t="shared" si="10"/>
        <v>0</v>
      </c>
      <c r="V12" s="111"/>
      <c r="W12" s="110"/>
      <c r="X12" s="155"/>
      <c r="Y12" s="155"/>
      <c r="Z12" s="161"/>
      <c r="AA12" s="162">
        <f t="shared" si="11"/>
        <v>0</v>
      </c>
      <c r="AB12" s="111"/>
      <c r="AC12" s="110"/>
      <c r="AD12" s="155"/>
      <c r="AE12" s="155"/>
      <c r="AF12" s="161"/>
      <c r="AG12" s="162">
        <f t="shared" si="12"/>
        <v>0</v>
      </c>
      <c r="AH12" s="111"/>
      <c r="AI12" s="166">
        <f t="shared" si="13"/>
        <v>0</v>
      </c>
      <c r="AJ12" s="112">
        <f t="shared" si="6"/>
        <v>0</v>
      </c>
      <c r="AL12" s="104">
        <f t="shared" si="7"/>
        <v>0</v>
      </c>
    </row>
    <row r="13" spans="1:38" s="103" customFormat="1" ht="120" customHeight="1">
      <c r="A13" s="105">
        <v>7</v>
      </c>
      <c r="B13" s="151">
        <f t="shared" si="0"/>
        <v>4</v>
      </c>
      <c r="C13" s="106"/>
      <c r="D13" s="107"/>
      <c r="E13" s="108"/>
      <c r="F13" s="155"/>
      <c r="G13" s="155"/>
      <c r="H13" s="155"/>
      <c r="I13" s="156">
        <f t="shared" si="8"/>
        <v>0</v>
      </c>
      <c r="J13" s="109"/>
      <c r="K13" s="110"/>
      <c r="L13" s="155"/>
      <c r="M13" s="155"/>
      <c r="N13" s="161"/>
      <c r="O13" s="162">
        <f t="shared" si="9"/>
        <v>0</v>
      </c>
      <c r="P13" s="111"/>
      <c r="Q13" s="110"/>
      <c r="R13" s="155"/>
      <c r="S13" s="155"/>
      <c r="T13" s="161"/>
      <c r="U13" s="162">
        <f t="shared" si="10"/>
        <v>0</v>
      </c>
      <c r="V13" s="111"/>
      <c r="W13" s="110"/>
      <c r="X13" s="155"/>
      <c r="Y13" s="155"/>
      <c r="Z13" s="161"/>
      <c r="AA13" s="162">
        <f t="shared" si="11"/>
        <v>0</v>
      </c>
      <c r="AB13" s="111"/>
      <c r="AC13" s="110"/>
      <c r="AD13" s="155"/>
      <c r="AE13" s="155"/>
      <c r="AF13" s="161"/>
      <c r="AG13" s="162">
        <f t="shared" si="12"/>
        <v>0</v>
      </c>
      <c r="AH13" s="111"/>
      <c r="AI13" s="166">
        <f t="shared" si="13"/>
        <v>0</v>
      </c>
      <c r="AJ13" s="112">
        <f t="shared" si="6"/>
        <v>0</v>
      </c>
      <c r="AL13" s="104">
        <f t="shared" si="7"/>
        <v>0</v>
      </c>
    </row>
    <row r="14" spans="1:38" s="103" customFormat="1" ht="120" customHeight="1">
      <c r="A14" s="105">
        <v>8</v>
      </c>
      <c r="B14" s="151">
        <f t="shared" si="0"/>
        <v>4</v>
      </c>
      <c r="C14" s="106"/>
      <c r="D14" s="107"/>
      <c r="E14" s="108"/>
      <c r="F14" s="155"/>
      <c r="G14" s="155"/>
      <c r="H14" s="155"/>
      <c r="I14" s="156">
        <f t="shared" si="8"/>
        <v>0</v>
      </c>
      <c r="J14" s="109"/>
      <c r="K14" s="110"/>
      <c r="L14" s="155"/>
      <c r="M14" s="155"/>
      <c r="N14" s="161"/>
      <c r="O14" s="162">
        <f t="shared" si="9"/>
        <v>0</v>
      </c>
      <c r="P14" s="111"/>
      <c r="Q14" s="110"/>
      <c r="R14" s="155"/>
      <c r="S14" s="155"/>
      <c r="T14" s="161"/>
      <c r="U14" s="162">
        <f t="shared" si="10"/>
        <v>0</v>
      </c>
      <c r="V14" s="111"/>
      <c r="W14" s="110"/>
      <c r="X14" s="155"/>
      <c r="Y14" s="155"/>
      <c r="Z14" s="161"/>
      <c r="AA14" s="162">
        <f t="shared" si="11"/>
        <v>0</v>
      </c>
      <c r="AB14" s="111"/>
      <c r="AC14" s="110"/>
      <c r="AD14" s="155"/>
      <c r="AE14" s="155"/>
      <c r="AF14" s="161"/>
      <c r="AG14" s="162">
        <f t="shared" si="12"/>
        <v>0</v>
      </c>
      <c r="AH14" s="111"/>
      <c r="AI14" s="166">
        <f t="shared" si="13"/>
        <v>0</v>
      </c>
      <c r="AJ14" s="112">
        <f t="shared" si="6"/>
        <v>0</v>
      </c>
      <c r="AL14" s="104">
        <f t="shared" si="7"/>
        <v>0</v>
      </c>
    </row>
    <row r="15" spans="1:38" s="103" customFormat="1" ht="120" customHeight="1">
      <c r="A15" s="105">
        <v>9</v>
      </c>
      <c r="B15" s="151">
        <f t="shared" si="0"/>
        <v>4</v>
      </c>
      <c r="C15" s="106"/>
      <c r="D15" s="107"/>
      <c r="E15" s="108"/>
      <c r="F15" s="155"/>
      <c r="G15" s="155"/>
      <c r="H15" s="155"/>
      <c r="I15" s="156">
        <f t="shared" si="8"/>
        <v>0</v>
      </c>
      <c r="J15" s="109"/>
      <c r="K15" s="110"/>
      <c r="L15" s="155"/>
      <c r="M15" s="155"/>
      <c r="N15" s="161"/>
      <c r="O15" s="162">
        <f t="shared" si="9"/>
        <v>0</v>
      </c>
      <c r="P15" s="111"/>
      <c r="Q15" s="110"/>
      <c r="R15" s="155"/>
      <c r="S15" s="155"/>
      <c r="T15" s="161"/>
      <c r="U15" s="162">
        <f t="shared" si="10"/>
        <v>0</v>
      </c>
      <c r="V15" s="111"/>
      <c r="W15" s="110"/>
      <c r="X15" s="155"/>
      <c r="Y15" s="155"/>
      <c r="Z15" s="161"/>
      <c r="AA15" s="162">
        <f t="shared" si="11"/>
        <v>0</v>
      </c>
      <c r="AB15" s="111"/>
      <c r="AC15" s="110"/>
      <c r="AD15" s="155"/>
      <c r="AE15" s="155"/>
      <c r="AF15" s="161"/>
      <c r="AG15" s="162">
        <f t="shared" si="12"/>
        <v>0</v>
      </c>
      <c r="AH15" s="111"/>
      <c r="AI15" s="166">
        <f t="shared" si="13"/>
        <v>0</v>
      </c>
      <c r="AJ15" s="112">
        <f t="shared" si="6"/>
        <v>0</v>
      </c>
      <c r="AL15" s="104">
        <f t="shared" si="7"/>
        <v>0</v>
      </c>
    </row>
    <row r="16" spans="1:38" s="103" customFormat="1" ht="120" customHeight="1">
      <c r="A16" s="105">
        <v>10</v>
      </c>
      <c r="B16" s="151">
        <f t="shared" si="0"/>
        <v>4</v>
      </c>
      <c r="C16" s="106"/>
      <c r="D16" s="107"/>
      <c r="E16" s="108"/>
      <c r="F16" s="155"/>
      <c r="G16" s="155"/>
      <c r="H16" s="155"/>
      <c r="I16" s="156">
        <f t="shared" si="8"/>
        <v>0</v>
      </c>
      <c r="J16" s="109"/>
      <c r="K16" s="110"/>
      <c r="L16" s="155"/>
      <c r="M16" s="155"/>
      <c r="N16" s="161"/>
      <c r="O16" s="162">
        <f t="shared" si="9"/>
        <v>0</v>
      </c>
      <c r="P16" s="111"/>
      <c r="Q16" s="110"/>
      <c r="R16" s="155"/>
      <c r="S16" s="155"/>
      <c r="T16" s="161"/>
      <c r="U16" s="162">
        <f t="shared" si="10"/>
        <v>0</v>
      </c>
      <c r="V16" s="111"/>
      <c r="W16" s="110"/>
      <c r="X16" s="155"/>
      <c r="Y16" s="155"/>
      <c r="Z16" s="161"/>
      <c r="AA16" s="162">
        <f t="shared" si="11"/>
        <v>0</v>
      </c>
      <c r="AB16" s="111"/>
      <c r="AC16" s="110"/>
      <c r="AD16" s="155"/>
      <c r="AE16" s="155"/>
      <c r="AF16" s="161"/>
      <c r="AG16" s="162">
        <f t="shared" si="12"/>
        <v>0</v>
      </c>
      <c r="AH16" s="111"/>
      <c r="AI16" s="166">
        <f t="shared" si="13"/>
        <v>0</v>
      </c>
      <c r="AJ16" s="112">
        <f t="shared" si="6"/>
        <v>0</v>
      </c>
      <c r="AL16" s="104">
        <f t="shared" si="7"/>
        <v>0</v>
      </c>
    </row>
    <row r="17" spans="1:38" s="103" customFormat="1" ht="120" customHeight="1">
      <c r="A17" s="105">
        <v>11</v>
      </c>
      <c r="B17" s="151">
        <f t="shared" si="0"/>
        <v>4</v>
      </c>
      <c r="C17" s="106"/>
      <c r="D17" s="107"/>
      <c r="E17" s="108"/>
      <c r="F17" s="155"/>
      <c r="G17" s="155"/>
      <c r="H17" s="155"/>
      <c r="I17" s="156">
        <f t="shared" si="8"/>
        <v>0</v>
      </c>
      <c r="J17" s="109"/>
      <c r="K17" s="110"/>
      <c r="L17" s="155"/>
      <c r="M17" s="155"/>
      <c r="N17" s="161"/>
      <c r="O17" s="162">
        <f t="shared" si="9"/>
        <v>0</v>
      </c>
      <c r="P17" s="111"/>
      <c r="Q17" s="110"/>
      <c r="R17" s="155"/>
      <c r="S17" s="155"/>
      <c r="T17" s="161"/>
      <c r="U17" s="162">
        <f t="shared" si="10"/>
        <v>0</v>
      </c>
      <c r="V17" s="111"/>
      <c r="W17" s="110"/>
      <c r="X17" s="155"/>
      <c r="Y17" s="155"/>
      <c r="Z17" s="161"/>
      <c r="AA17" s="162">
        <f t="shared" si="11"/>
        <v>0</v>
      </c>
      <c r="AB17" s="111"/>
      <c r="AC17" s="110"/>
      <c r="AD17" s="155"/>
      <c r="AE17" s="155"/>
      <c r="AF17" s="161"/>
      <c r="AG17" s="162">
        <f t="shared" si="12"/>
        <v>0</v>
      </c>
      <c r="AH17" s="111"/>
      <c r="AI17" s="166">
        <f t="shared" si="13"/>
        <v>0</v>
      </c>
      <c r="AJ17" s="112">
        <f t="shared" si="6"/>
        <v>0</v>
      </c>
      <c r="AL17" s="104">
        <f t="shared" si="7"/>
        <v>0</v>
      </c>
    </row>
    <row r="18" spans="1:38" s="103" customFormat="1" ht="120" customHeight="1">
      <c r="A18" s="105">
        <v>12</v>
      </c>
      <c r="B18" s="151">
        <f t="shared" si="0"/>
        <v>4</v>
      </c>
      <c r="C18" s="106"/>
      <c r="D18" s="107"/>
      <c r="E18" s="108"/>
      <c r="F18" s="155"/>
      <c r="G18" s="155"/>
      <c r="H18" s="155"/>
      <c r="I18" s="156">
        <f t="shared" si="8"/>
        <v>0</v>
      </c>
      <c r="J18" s="109"/>
      <c r="K18" s="110"/>
      <c r="L18" s="155"/>
      <c r="M18" s="155"/>
      <c r="N18" s="161"/>
      <c r="O18" s="162">
        <f t="shared" si="9"/>
        <v>0</v>
      </c>
      <c r="P18" s="111"/>
      <c r="Q18" s="110"/>
      <c r="R18" s="155"/>
      <c r="S18" s="155"/>
      <c r="T18" s="161"/>
      <c r="U18" s="162">
        <f t="shared" si="10"/>
        <v>0</v>
      </c>
      <c r="V18" s="111"/>
      <c r="W18" s="110"/>
      <c r="X18" s="155"/>
      <c r="Y18" s="155"/>
      <c r="Z18" s="161"/>
      <c r="AA18" s="162">
        <f t="shared" si="11"/>
        <v>0</v>
      </c>
      <c r="AB18" s="111"/>
      <c r="AC18" s="110"/>
      <c r="AD18" s="155"/>
      <c r="AE18" s="155"/>
      <c r="AF18" s="161"/>
      <c r="AG18" s="162">
        <f t="shared" si="12"/>
        <v>0</v>
      </c>
      <c r="AH18" s="111"/>
      <c r="AI18" s="166">
        <f t="shared" si="13"/>
        <v>0</v>
      </c>
      <c r="AJ18" s="112">
        <f t="shared" si="6"/>
        <v>0</v>
      </c>
      <c r="AL18" s="104">
        <f t="shared" si="7"/>
        <v>0</v>
      </c>
    </row>
    <row r="19" spans="1:38" s="103" customFormat="1" ht="120" customHeight="1">
      <c r="A19" s="105">
        <v>13</v>
      </c>
      <c r="B19" s="151">
        <f t="shared" si="0"/>
        <v>4</v>
      </c>
      <c r="C19" s="106"/>
      <c r="D19" s="107"/>
      <c r="E19" s="108"/>
      <c r="F19" s="155"/>
      <c r="G19" s="155"/>
      <c r="H19" s="155"/>
      <c r="I19" s="156">
        <f t="shared" si="8"/>
        <v>0</v>
      </c>
      <c r="J19" s="109"/>
      <c r="K19" s="110"/>
      <c r="L19" s="155"/>
      <c r="M19" s="155"/>
      <c r="N19" s="161"/>
      <c r="O19" s="162">
        <f t="shared" si="9"/>
        <v>0</v>
      </c>
      <c r="P19" s="111"/>
      <c r="Q19" s="110"/>
      <c r="R19" s="155"/>
      <c r="S19" s="155"/>
      <c r="T19" s="161"/>
      <c r="U19" s="162">
        <f t="shared" si="10"/>
        <v>0</v>
      </c>
      <c r="V19" s="111"/>
      <c r="W19" s="110"/>
      <c r="X19" s="155"/>
      <c r="Y19" s="155"/>
      <c r="Z19" s="161"/>
      <c r="AA19" s="162">
        <f t="shared" si="11"/>
        <v>0</v>
      </c>
      <c r="AB19" s="111"/>
      <c r="AC19" s="110"/>
      <c r="AD19" s="155"/>
      <c r="AE19" s="155"/>
      <c r="AF19" s="161"/>
      <c r="AG19" s="162">
        <f t="shared" si="12"/>
        <v>0</v>
      </c>
      <c r="AH19" s="111"/>
      <c r="AI19" s="166">
        <f t="shared" si="13"/>
        <v>0</v>
      </c>
      <c r="AJ19" s="112">
        <f t="shared" si="6"/>
        <v>0</v>
      </c>
      <c r="AL19" s="104">
        <f t="shared" si="7"/>
        <v>0</v>
      </c>
    </row>
    <row r="20" spans="1:38" s="103" customFormat="1" ht="120" customHeight="1">
      <c r="A20" s="105">
        <v>14</v>
      </c>
      <c r="B20" s="151">
        <f t="shared" si="0"/>
        <v>4</v>
      </c>
      <c r="C20" s="106"/>
      <c r="D20" s="107"/>
      <c r="E20" s="108"/>
      <c r="F20" s="155"/>
      <c r="G20" s="155"/>
      <c r="H20" s="155"/>
      <c r="I20" s="156">
        <f t="shared" si="8"/>
        <v>0</v>
      </c>
      <c r="J20" s="109"/>
      <c r="K20" s="110"/>
      <c r="L20" s="155"/>
      <c r="M20" s="155"/>
      <c r="N20" s="161"/>
      <c r="O20" s="162">
        <f t="shared" si="9"/>
        <v>0</v>
      </c>
      <c r="P20" s="111"/>
      <c r="Q20" s="110"/>
      <c r="R20" s="155"/>
      <c r="S20" s="155"/>
      <c r="T20" s="161"/>
      <c r="U20" s="162">
        <f t="shared" si="10"/>
        <v>0</v>
      </c>
      <c r="V20" s="111"/>
      <c r="W20" s="110"/>
      <c r="X20" s="155"/>
      <c r="Y20" s="155"/>
      <c r="Z20" s="161"/>
      <c r="AA20" s="162">
        <f t="shared" si="11"/>
        <v>0</v>
      </c>
      <c r="AB20" s="111"/>
      <c r="AC20" s="110"/>
      <c r="AD20" s="155"/>
      <c r="AE20" s="155"/>
      <c r="AF20" s="161"/>
      <c r="AG20" s="162">
        <f t="shared" si="12"/>
        <v>0</v>
      </c>
      <c r="AH20" s="111"/>
      <c r="AI20" s="166">
        <f t="shared" si="13"/>
        <v>0</v>
      </c>
      <c r="AJ20" s="112">
        <f t="shared" si="6"/>
        <v>0</v>
      </c>
      <c r="AL20" s="104">
        <f t="shared" si="7"/>
        <v>0</v>
      </c>
    </row>
    <row r="21" spans="1:38" s="103" customFormat="1" ht="120" customHeight="1">
      <c r="A21" s="105">
        <v>15</v>
      </c>
      <c r="B21" s="151">
        <f t="shared" si="0"/>
        <v>4</v>
      </c>
      <c r="C21" s="106"/>
      <c r="D21" s="107"/>
      <c r="E21" s="108"/>
      <c r="F21" s="155"/>
      <c r="G21" s="155"/>
      <c r="H21" s="155"/>
      <c r="I21" s="156">
        <f t="shared" si="8"/>
        <v>0</v>
      </c>
      <c r="J21" s="109"/>
      <c r="K21" s="110"/>
      <c r="L21" s="155"/>
      <c r="M21" s="155"/>
      <c r="N21" s="161"/>
      <c r="O21" s="162">
        <f t="shared" si="9"/>
        <v>0</v>
      </c>
      <c r="P21" s="111"/>
      <c r="Q21" s="110"/>
      <c r="R21" s="155"/>
      <c r="S21" s="155"/>
      <c r="T21" s="161"/>
      <c r="U21" s="162">
        <f t="shared" si="10"/>
        <v>0</v>
      </c>
      <c r="V21" s="111"/>
      <c r="W21" s="110"/>
      <c r="X21" s="155"/>
      <c r="Y21" s="155"/>
      <c r="Z21" s="161"/>
      <c r="AA21" s="162">
        <f t="shared" si="11"/>
        <v>0</v>
      </c>
      <c r="AB21" s="111"/>
      <c r="AC21" s="110"/>
      <c r="AD21" s="155"/>
      <c r="AE21" s="155"/>
      <c r="AF21" s="161"/>
      <c r="AG21" s="162">
        <f t="shared" si="12"/>
        <v>0</v>
      </c>
      <c r="AH21" s="111"/>
      <c r="AI21" s="166">
        <f t="shared" si="13"/>
        <v>0</v>
      </c>
      <c r="AJ21" s="112">
        <f t="shared" si="6"/>
        <v>0</v>
      </c>
      <c r="AL21" s="104">
        <f t="shared" si="7"/>
        <v>0</v>
      </c>
    </row>
    <row r="22" spans="1:38" s="103" customFormat="1" ht="120" customHeight="1">
      <c r="A22" s="105">
        <v>16</v>
      </c>
      <c r="B22" s="151">
        <f t="shared" si="0"/>
        <v>4</v>
      </c>
      <c r="C22" s="106"/>
      <c r="D22" s="107"/>
      <c r="E22" s="108"/>
      <c r="F22" s="155"/>
      <c r="G22" s="155"/>
      <c r="H22" s="155"/>
      <c r="I22" s="156">
        <f t="shared" si="8"/>
        <v>0</v>
      </c>
      <c r="J22" s="109"/>
      <c r="K22" s="110"/>
      <c r="L22" s="155"/>
      <c r="M22" s="155"/>
      <c r="N22" s="161"/>
      <c r="O22" s="162">
        <f t="shared" si="9"/>
        <v>0</v>
      </c>
      <c r="P22" s="111"/>
      <c r="Q22" s="110"/>
      <c r="R22" s="155"/>
      <c r="S22" s="155"/>
      <c r="T22" s="161"/>
      <c r="U22" s="162">
        <f t="shared" si="10"/>
        <v>0</v>
      </c>
      <c r="V22" s="111"/>
      <c r="W22" s="110"/>
      <c r="X22" s="155"/>
      <c r="Y22" s="155"/>
      <c r="Z22" s="161"/>
      <c r="AA22" s="162">
        <f t="shared" si="11"/>
        <v>0</v>
      </c>
      <c r="AB22" s="111"/>
      <c r="AC22" s="110"/>
      <c r="AD22" s="155"/>
      <c r="AE22" s="155"/>
      <c r="AF22" s="161"/>
      <c r="AG22" s="162">
        <f t="shared" si="12"/>
        <v>0</v>
      </c>
      <c r="AH22" s="111"/>
      <c r="AI22" s="166">
        <f t="shared" si="13"/>
        <v>0</v>
      </c>
      <c r="AJ22" s="112">
        <f t="shared" si="6"/>
        <v>0</v>
      </c>
      <c r="AL22" s="104">
        <f t="shared" si="7"/>
        <v>0</v>
      </c>
    </row>
    <row r="23" spans="1:38" s="103" customFormat="1" ht="120" customHeight="1">
      <c r="A23" s="105">
        <v>17</v>
      </c>
      <c r="B23" s="151">
        <f t="shared" si="0"/>
        <v>4</v>
      </c>
      <c r="C23" s="106"/>
      <c r="D23" s="107"/>
      <c r="E23" s="108"/>
      <c r="F23" s="155"/>
      <c r="G23" s="155"/>
      <c r="H23" s="155"/>
      <c r="I23" s="156">
        <f t="shared" si="8"/>
        <v>0</v>
      </c>
      <c r="J23" s="109"/>
      <c r="K23" s="110"/>
      <c r="L23" s="155"/>
      <c r="M23" s="155"/>
      <c r="N23" s="161"/>
      <c r="O23" s="162">
        <f t="shared" si="9"/>
        <v>0</v>
      </c>
      <c r="P23" s="111"/>
      <c r="Q23" s="110"/>
      <c r="R23" s="155"/>
      <c r="S23" s="155"/>
      <c r="T23" s="161"/>
      <c r="U23" s="162">
        <f t="shared" si="10"/>
        <v>0</v>
      </c>
      <c r="V23" s="111"/>
      <c r="W23" s="110"/>
      <c r="X23" s="155"/>
      <c r="Y23" s="155"/>
      <c r="Z23" s="161"/>
      <c r="AA23" s="162">
        <f t="shared" si="11"/>
        <v>0</v>
      </c>
      <c r="AB23" s="111"/>
      <c r="AC23" s="110"/>
      <c r="AD23" s="155"/>
      <c r="AE23" s="155"/>
      <c r="AF23" s="161"/>
      <c r="AG23" s="162">
        <f t="shared" si="12"/>
        <v>0</v>
      </c>
      <c r="AH23" s="111"/>
      <c r="AI23" s="166">
        <f t="shared" si="13"/>
        <v>0</v>
      </c>
      <c r="AJ23" s="112">
        <f t="shared" si="6"/>
        <v>0</v>
      </c>
      <c r="AL23" s="104">
        <f t="shared" si="7"/>
        <v>0</v>
      </c>
    </row>
    <row r="24" spans="1:38" s="103" customFormat="1" ht="120" customHeight="1">
      <c r="A24" s="105">
        <v>18</v>
      </c>
      <c r="B24" s="151">
        <f t="shared" si="0"/>
        <v>4</v>
      </c>
      <c r="C24" s="106"/>
      <c r="D24" s="107"/>
      <c r="E24" s="108"/>
      <c r="F24" s="155"/>
      <c r="G24" s="155"/>
      <c r="H24" s="155"/>
      <c r="I24" s="156">
        <f t="shared" si="8"/>
        <v>0</v>
      </c>
      <c r="J24" s="109"/>
      <c r="K24" s="110"/>
      <c r="L24" s="155"/>
      <c r="M24" s="155"/>
      <c r="N24" s="161"/>
      <c r="O24" s="162">
        <f t="shared" si="9"/>
        <v>0</v>
      </c>
      <c r="P24" s="111"/>
      <c r="Q24" s="110"/>
      <c r="R24" s="155"/>
      <c r="S24" s="155"/>
      <c r="T24" s="161"/>
      <c r="U24" s="162">
        <f t="shared" si="10"/>
        <v>0</v>
      </c>
      <c r="V24" s="111"/>
      <c r="W24" s="110"/>
      <c r="X24" s="155"/>
      <c r="Y24" s="155"/>
      <c r="Z24" s="161"/>
      <c r="AA24" s="162">
        <f t="shared" si="11"/>
        <v>0</v>
      </c>
      <c r="AB24" s="111"/>
      <c r="AC24" s="110"/>
      <c r="AD24" s="155"/>
      <c r="AE24" s="155"/>
      <c r="AF24" s="161"/>
      <c r="AG24" s="162">
        <f t="shared" si="12"/>
        <v>0</v>
      </c>
      <c r="AH24" s="111"/>
      <c r="AI24" s="166">
        <f t="shared" si="13"/>
        <v>0</v>
      </c>
      <c r="AJ24" s="112">
        <f t="shared" si="6"/>
        <v>0</v>
      </c>
      <c r="AL24" s="104">
        <f t="shared" si="7"/>
        <v>0</v>
      </c>
    </row>
    <row r="25" spans="1:38" s="103" customFormat="1" ht="120" customHeight="1">
      <c r="A25" s="105">
        <v>19</v>
      </c>
      <c r="B25" s="151">
        <f t="shared" si="0"/>
        <v>4</v>
      </c>
      <c r="C25" s="106"/>
      <c r="D25" s="107"/>
      <c r="E25" s="108"/>
      <c r="F25" s="155"/>
      <c r="G25" s="155"/>
      <c r="H25" s="155"/>
      <c r="I25" s="156">
        <f t="shared" si="8"/>
        <v>0</v>
      </c>
      <c r="J25" s="109"/>
      <c r="K25" s="110"/>
      <c r="L25" s="155"/>
      <c r="M25" s="155"/>
      <c r="N25" s="161"/>
      <c r="O25" s="162">
        <f t="shared" si="9"/>
        <v>0</v>
      </c>
      <c r="P25" s="111"/>
      <c r="Q25" s="110"/>
      <c r="R25" s="155"/>
      <c r="S25" s="155"/>
      <c r="T25" s="161"/>
      <c r="U25" s="162">
        <f t="shared" si="10"/>
        <v>0</v>
      </c>
      <c r="V25" s="111"/>
      <c r="W25" s="110"/>
      <c r="X25" s="155"/>
      <c r="Y25" s="155"/>
      <c r="Z25" s="161"/>
      <c r="AA25" s="162">
        <f t="shared" si="11"/>
        <v>0</v>
      </c>
      <c r="AB25" s="111"/>
      <c r="AC25" s="110"/>
      <c r="AD25" s="155"/>
      <c r="AE25" s="155"/>
      <c r="AF25" s="161"/>
      <c r="AG25" s="162">
        <f t="shared" si="12"/>
        <v>0</v>
      </c>
      <c r="AH25" s="111"/>
      <c r="AI25" s="166">
        <f t="shared" si="13"/>
        <v>0</v>
      </c>
      <c r="AJ25" s="112">
        <f t="shared" si="6"/>
        <v>0</v>
      </c>
      <c r="AL25" s="104">
        <f t="shared" si="7"/>
        <v>0</v>
      </c>
    </row>
    <row r="26" spans="1:38" s="103" customFormat="1" ht="120" customHeight="1" thickBot="1">
      <c r="A26" s="93">
        <v>20</v>
      </c>
      <c r="B26" s="152">
        <f t="shared" si="0"/>
        <v>4</v>
      </c>
      <c r="C26" s="113"/>
      <c r="D26" s="114"/>
      <c r="E26" s="115"/>
      <c r="F26" s="157"/>
      <c r="G26" s="157"/>
      <c r="H26" s="157"/>
      <c r="I26" s="158">
        <f t="shared" si="8"/>
        <v>0</v>
      </c>
      <c r="J26" s="116"/>
      <c r="K26" s="117"/>
      <c r="L26" s="157"/>
      <c r="M26" s="157"/>
      <c r="N26" s="163"/>
      <c r="O26" s="164">
        <f t="shared" si="9"/>
        <v>0</v>
      </c>
      <c r="P26" s="118"/>
      <c r="Q26" s="117"/>
      <c r="R26" s="157"/>
      <c r="S26" s="157"/>
      <c r="T26" s="163"/>
      <c r="U26" s="164">
        <f t="shared" si="10"/>
        <v>0</v>
      </c>
      <c r="V26" s="118"/>
      <c r="W26" s="117"/>
      <c r="X26" s="157"/>
      <c r="Y26" s="157"/>
      <c r="Z26" s="163"/>
      <c r="AA26" s="164">
        <f t="shared" si="11"/>
        <v>0</v>
      </c>
      <c r="AB26" s="118"/>
      <c r="AC26" s="117"/>
      <c r="AD26" s="157"/>
      <c r="AE26" s="157"/>
      <c r="AF26" s="163"/>
      <c r="AG26" s="164">
        <f t="shared" si="12"/>
        <v>0</v>
      </c>
      <c r="AH26" s="118"/>
      <c r="AI26" s="167">
        <f t="shared" si="13"/>
        <v>0</v>
      </c>
      <c r="AJ26" s="119">
        <f t="shared" si="6"/>
        <v>0</v>
      </c>
      <c r="AL26" s="104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300" verticalDpi="300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94" customWidth="1"/>
    <col min="2" max="2" width="62.125" style="195" customWidth="1"/>
    <col min="3" max="3" width="24" style="195" customWidth="1"/>
    <col min="4" max="4" width="54.125" style="195" customWidth="1"/>
    <col min="5" max="5" width="18.375" style="195" customWidth="1"/>
    <col min="6" max="7" width="18" style="195" customWidth="1"/>
    <col min="8" max="8" width="18.375" style="196" customWidth="1"/>
    <col min="9" max="9" width="10.625" style="197" hidden="1" customWidth="1"/>
    <col min="10" max="10" width="48.375" style="195" customWidth="1"/>
    <col min="11" max="11" width="18" style="195" customWidth="1"/>
    <col min="12" max="12" width="18.375" style="195" customWidth="1"/>
    <col min="13" max="13" width="17.5" style="195" customWidth="1"/>
    <col min="14" max="14" width="16.875" style="196" customWidth="1"/>
    <col min="15" max="15" width="10.625" style="197" hidden="1" customWidth="1"/>
    <col min="16" max="16" width="62.125" style="195" customWidth="1"/>
    <col min="17" max="17" width="18.375" style="195" customWidth="1"/>
    <col min="18" max="18" width="15.625" style="195" customWidth="1"/>
    <col min="19" max="19" width="17.5" style="195" customWidth="1"/>
    <col min="20" max="20" width="16.5" style="196" customWidth="1"/>
    <col min="21" max="21" width="10.625" style="197" hidden="1" customWidth="1"/>
    <col min="22" max="22" width="63.125" style="195" customWidth="1"/>
    <col min="23" max="23" width="18.375" style="195" customWidth="1"/>
    <col min="24" max="24" width="17.5" style="195" customWidth="1"/>
    <col min="25" max="25" width="18.625" style="195" customWidth="1"/>
    <col min="26" max="26" width="16.875" style="196" customWidth="1"/>
    <col min="27" max="27" width="10.625" style="197" hidden="1" customWidth="1"/>
    <col min="28" max="28" width="49" style="198" customWidth="1"/>
    <col min="29" max="29" width="17.5" style="198" customWidth="1"/>
    <col min="30" max="30" width="14.625" style="198" customWidth="1"/>
    <col min="31" max="31" width="17.125" style="198" customWidth="1"/>
    <col min="32" max="32" width="16.5" style="196" customWidth="1"/>
    <col min="33" max="33" width="10.875" style="197" hidden="1" customWidth="1"/>
    <col min="34" max="34" width="29.125" style="196" customWidth="1"/>
    <col min="35" max="35" width="19.125" style="199" hidden="1" customWidth="1"/>
    <col min="36" max="36" width="23.5" style="168" customWidth="1"/>
    <col min="37" max="41" width="15.125" style="169" customWidth="1"/>
    <col min="42" max="42" width="15.125" style="170" customWidth="1"/>
    <col min="43" max="91" width="15.125" style="169" customWidth="1"/>
    <col min="92" max="16384" width="10.625" style="169"/>
  </cols>
  <sheetData>
    <row r="1" spans="1:42" ht="93.95" customHeight="1">
      <c r="A1" s="224"/>
      <c r="B1" s="225"/>
      <c r="C1" s="225"/>
      <c r="D1" s="225"/>
      <c r="E1" s="225"/>
      <c r="F1" s="225"/>
      <c r="G1" s="225"/>
      <c r="H1" s="226"/>
      <c r="I1" s="227"/>
      <c r="J1" s="225"/>
      <c r="K1" s="225"/>
      <c r="L1" s="225"/>
      <c r="M1" s="225"/>
      <c r="N1" s="226"/>
      <c r="O1" s="227"/>
      <c r="P1" s="225"/>
      <c r="Q1" s="225"/>
      <c r="R1" s="225"/>
      <c r="S1" s="225"/>
      <c r="T1" s="226"/>
      <c r="U1" s="227"/>
      <c r="V1" s="225"/>
      <c r="W1" s="225"/>
      <c r="X1" s="225"/>
      <c r="Y1" s="225"/>
      <c r="Z1" s="226"/>
      <c r="AA1" s="227"/>
      <c r="AB1" s="228"/>
      <c r="AC1" s="228"/>
      <c r="AD1" s="228"/>
      <c r="AE1" s="228"/>
      <c r="AF1" s="226"/>
      <c r="AG1" s="227"/>
      <c r="AH1" s="226"/>
      <c r="AI1" s="229"/>
    </row>
    <row r="2" spans="1:42" ht="93.95" customHeight="1">
      <c r="A2" s="224"/>
      <c r="B2" s="225"/>
      <c r="C2" s="225"/>
      <c r="D2" s="225"/>
      <c r="E2" s="225"/>
      <c r="F2" s="225"/>
      <c r="G2" s="225"/>
      <c r="H2" s="226"/>
      <c r="I2" s="227"/>
      <c r="J2" s="225"/>
      <c r="K2" s="225"/>
      <c r="L2" s="225"/>
      <c r="M2" s="225"/>
      <c r="N2" s="226"/>
      <c r="O2" s="227"/>
      <c r="P2" s="225"/>
      <c r="Q2" s="225"/>
      <c r="R2" s="225"/>
      <c r="S2" s="225"/>
      <c r="T2" s="226"/>
      <c r="U2" s="227"/>
      <c r="V2" s="225"/>
      <c r="W2" s="225"/>
      <c r="X2" s="225"/>
      <c r="Y2" s="225"/>
      <c r="Z2" s="226"/>
      <c r="AA2" s="227"/>
      <c r="AB2" s="228"/>
      <c r="AC2" s="228"/>
      <c r="AD2" s="228"/>
      <c r="AE2" s="228"/>
      <c r="AF2" s="226"/>
      <c r="AG2" s="227"/>
      <c r="AH2" s="226"/>
      <c r="AI2" s="229"/>
    </row>
    <row r="3" spans="1:42" ht="123.95" customHeight="1">
      <c r="A3" s="262" t="str">
        <f>CONCATENATE("MATCH DE QUALIFICATION"," - ",INFO!B7," - ",INFO!B9)</f>
        <v>MATCH DE QUALIFICATION - CARABINE 10M - DAUPHINE SAVOIE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</row>
    <row r="4" spans="1:42" ht="84" customHeight="1" thickBo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171"/>
    </row>
    <row r="5" spans="1:42" ht="30" customHeight="1">
      <c r="A5" s="266" t="s">
        <v>49</v>
      </c>
      <c r="B5" s="272" t="s">
        <v>42</v>
      </c>
      <c r="C5" s="274" t="s">
        <v>47</v>
      </c>
      <c r="D5" s="286" t="s">
        <v>30</v>
      </c>
      <c r="E5" s="280" t="s">
        <v>53</v>
      </c>
      <c r="F5" s="281"/>
      <c r="G5" s="282"/>
      <c r="H5" s="268" t="s">
        <v>40</v>
      </c>
      <c r="I5" s="276" t="s">
        <v>52</v>
      </c>
      <c r="J5" s="286" t="s">
        <v>2</v>
      </c>
      <c r="K5" s="280" t="s">
        <v>53</v>
      </c>
      <c r="L5" s="281"/>
      <c r="M5" s="282"/>
      <c r="N5" s="268" t="s">
        <v>40</v>
      </c>
      <c r="O5" s="276" t="s">
        <v>52</v>
      </c>
      <c r="P5" s="286" t="s">
        <v>3</v>
      </c>
      <c r="Q5" s="280" t="s">
        <v>53</v>
      </c>
      <c r="R5" s="281"/>
      <c r="S5" s="282"/>
      <c r="T5" s="268" t="s">
        <v>40</v>
      </c>
      <c r="U5" s="278" t="s">
        <v>52</v>
      </c>
      <c r="V5" s="286" t="s">
        <v>4</v>
      </c>
      <c r="W5" s="280" t="s">
        <v>53</v>
      </c>
      <c r="X5" s="281"/>
      <c r="Y5" s="282"/>
      <c r="Z5" s="268" t="s">
        <v>40</v>
      </c>
      <c r="AA5" s="278" t="s">
        <v>52</v>
      </c>
      <c r="AB5" s="286" t="s">
        <v>5</v>
      </c>
      <c r="AC5" s="280" t="s">
        <v>53</v>
      </c>
      <c r="AD5" s="281"/>
      <c r="AE5" s="282"/>
      <c r="AF5" s="268" t="s">
        <v>40</v>
      </c>
      <c r="AG5" s="278" t="s">
        <v>52</v>
      </c>
      <c r="AH5" s="266" t="s">
        <v>43</v>
      </c>
      <c r="AI5" s="270" t="s">
        <v>55</v>
      </c>
      <c r="AJ5" s="264"/>
      <c r="AK5" s="172"/>
      <c r="AP5" s="169"/>
    </row>
    <row r="6" spans="1:42" ht="84.95" customHeight="1">
      <c r="A6" s="267"/>
      <c r="B6" s="273"/>
      <c r="C6" s="275"/>
      <c r="D6" s="287"/>
      <c r="E6" s="283"/>
      <c r="F6" s="284"/>
      <c r="G6" s="285"/>
      <c r="H6" s="269"/>
      <c r="I6" s="277"/>
      <c r="J6" s="287"/>
      <c r="K6" s="283"/>
      <c r="L6" s="284"/>
      <c r="M6" s="285"/>
      <c r="N6" s="269"/>
      <c r="O6" s="277"/>
      <c r="P6" s="287"/>
      <c r="Q6" s="283"/>
      <c r="R6" s="284"/>
      <c r="S6" s="285"/>
      <c r="T6" s="269"/>
      <c r="U6" s="279"/>
      <c r="V6" s="287"/>
      <c r="W6" s="283"/>
      <c r="X6" s="284"/>
      <c r="Y6" s="285"/>
      <c r="Z6" s="269"/>
      <c r="AA6" s="279"/>
      <c r="AB6" s="287"/>
      <c r="AC6" s="283"/>
      <c r="AD6" s="284"/>
      <c r="AE6" s="285"/>
      <c r="AF6" s="269"/>
      <c r="AG6" s="279"/>
      <c r="AH6" s="267"/>
      <c r="AI6" s="271"/>
      <c r="AJ6" s="265"/>
      <c r="AP6" s="169"/>
    </row>
    <row r="7" spans="1:42" s="182" customFormat="1" ht="153" customHeight="1">
      <c r="A7" s="173">
        <v>1</v>
      </c>
      <c r="B7" s="174" t="str">
        <f>VLOOKUP(A7,saisie!B$7:AL$26,2,0)</f>
        <v>LA SALESIENNE 1</v>
      </c>
      <c r="C7" s="175">
        <f>VLOOKUP(A7,saisie!B$7:AL$26,3,0)</f>
        <v>2074155</v>
      </c>
      <c r="D7" s="176" t="str">
        <f>VLOOKUP(A7,saisie!B$7:AL$26,4,0)</f>
        <v>Cammarata Annick</v>
      </c>
      <c r="E7" s="177">
        <f>VLOOKUP(A7,saisie!B$7:AL$26,5,0)</f>
        <v>98.5</v>
      </c>
      <c r="F7" s="177">
        <f>VLOOKUP(A7,saisie!B$7:AL$26,6,0)</f>
        <v>99.9</v>
      </c>
      <c r="G7" s="177">
        <f>VLOOKUP(A7,saisie!B$7:AL$26,7,0)</f>
        <v>99.5</v>
      </c>
      <c r="H7" s="178">
        <f>VLOOKUP(A7,saisie!B$7:AL$26,8,0)</f>
        <v>297.89999999999998</v>
      </c>
      <c r="I7" s="179">
        <f>VLOOKUP(A7,saisie!B$7:AL$26,9,0)</f>
        <v>0</v>
      </c>
      <c r="J7" s="176" t="str">
        <f>VLOOKUP(A7,saisie!B$7:AL$26,10,0)</f>
        <v>Vanelstraete Nathan</v>
      </c>
      <c r="K7" s="177">
        <f>VLOOKUP(A7,saisie!B$7:AL$26,11,0)</f>
        <v>99.9</v>
      </c>
      <c r="L7" s="177">
        <f>VLOOKUP(A7,saisie!B$7:AL$26,12,0)</f>
        <v>97.2</v>
      </c>
      <c r="M7" s="177">
        <f>VLOOKUP(A7,saisie!B$7:AL$26,13,0)</f>
        <v>98</v>
      </c>
      <c r="N7" s="178">
        <f>VLOOKUP(A7,saisie!B$7:AL$26,14,0)</f>
        <v>295.10000000000002</v>
      </c>
      <c r="O7" s="179">
        <f>VLOOKUP(A7,saisie!B$7:AL$26,15,0)</f>
        <v>0</v>
      </c>
      <c r="P7" s="176" t="str">
        <f>VLOOKUP(A7,saisie!B$7:AL$26,16,0)</f>
        <v>Batoux Sophie</v>
      </c>
      <c r="Q7" s="177">
        <f>VLOOKUP(A7,saisie!B$7:AL$26,17,0)</f>
        <v>93.9</v>
      </c>
      <c r="R7" s="177">
        <f>VLOOKUP(A7,saisie!B$7:AL$26,18,0)</f>
        <v>95.5</v>
      </c>
      <c r="S7" s="177">
        <f>VLOOKUP(A7,saisie!B$7:AL$26,19,0)</f>
        <v>96.2</v>
      </c>
      <c r="T7" s="178">
        <f>VLOOKUP(A7,saisie!B$7:AL$26,20,0)</f>
        <v>285.60000000000002</v>
      </c>
      <c r="U7" s="179">
        <f>VLOOKUP(A7,saisie!B$7:AL$26,21,0)</f>
        <v>0</v>
      </c>
      <c r="V7" s="176" t="str">
        <f>VLOOKUP(A7,saisie!B$7:AL$26,22,0)</f>
        <v>Jarcin Nathalie</v>
      </c>
      <c r="W7" s="177">
        <f>VLOOKUP(A7,saisie!B$7:AL$26,23,0)</f>
        <v>93.9</v>
      </c>
      <c r="X7" s="177">
        <f>VLOOKUP(A7,saisie!B$7:AL$26,24,0)</f>
        <v>98.1</v>
      </c>
      <c r="Y7" s="177">
        <f>VLOOKUP(A7,saisie!B$7:AL$26,25,0)</f>
        <v>97.4</v>
      </c>
      <c r="Z7" s="178">
        <f>VLOOKUP(A7,saisie!B$7:AL$26,26,0)</f>
        <v>289.39999999999998</v>
      </c>
      <c r="AA7" s="179">
        <f>VLOOKUP(A7,saisie!B$7:AL$26,27,0)</f>
        <v>0</v>
      </c>
      <c r="AB7" s="176" t="str">
        <f>VLOOKUP(A7,saisie!B$7:AL$26,28,0)</f>
        <v>Joly Stéphanie</v>
      </c>
      <c r="AC7" s="177">
        <f>VLOOKUP(A7,saisie!B$7:AL$26,29,0)</f>
        <v>98.3</v>
      </c>
      <c r="AD7" s="177">
        <f>VLOOKUP(A7,saisie!B$7:AL$26,30,0)</f>
        <v>99.5</v>
      </c>
      <c r="AE7" s="177">
        <f>VLOOKUP(A7,saisie!B$7:AL$26,31,0)</f>
        <v>98.9</v>
      </c>
      <c r="AF7" s="178">
        <f>VLOOKUP(A7,saisie!B$7:AL$26,32,0)</f>
        <v>296.70000000000005</v>
      </c>
      <c r="AG7" s="179">
        <f>VLOOKUP(A7,saisie!B$7:AL$26,33,0)</f>
        <v>0</v>
      </c>
      <c r="AH7" s="173">
        <f>VLOOKUP(A7,saisie!B$7:AL$26,34,0)</f>
        <v>1464.7</v>
      </c>
      <c r="AI7" s="180">
        <f>VLOOKUP(A7,saisie!B$7:AL$26,35,0)</f>
        <v>0</v>
      </c>
      <c r="AJ7" s="181"/>
    </row>
    <row r="8" spans="1:42" s="182" customFormat="1" ht="153" customHeight="1">
      <c r="A8" s="173">
        <f>IF(INFO!B8&gt;1,2,"")</f>
        <v>2</v>
      </c>
      <c r="B8" s="174" t="str">
        <f>VLOOKUP(A8,saisie!B$7:AL$26,2,0)</f>
        <v>CTR Rumilly</v>
      </c>
      <c r="C8" s="175">
        <f>VLOOKUP(A8,saisie!B$7:AL$26,3,0)</f>
        <v>2074059</v>
      </c>
      <c r="D8" s="176" t="str">
        <f>VLOOKUP(A8,saisie!B$7:AL$26,4,0)</f>
        <v>Aymard Léane</v>
      </c>
      <c r="E8" s="177">
        <f>VLOOKUP(A8,saisie!B$7:AL$26,5,0)</f>
        <v>94.7</v>
      </c>
      <c r="F8" s="177">
        <f>VLOOKUP(A8,saisie!B$7:AL$26,6,0)</f>
        <v>97.3</v>
      </c>
      <c r="G8" s="177">
        <f>VLOOKUP(A8,saisie!B$7:AL$26,7,0)</f>
        <v>92.1</v>
      </c>
      <c r="H8" s="178">
        <f>VLOOKUP(A8,saisie!B$7:AL$26,8,0)</f>
        <v>284.10000000000002</v>
      </c>
      <c r="I8" s="179">
        <f>VLOOKUP(A8,saisie!B$7:AL$26,9,0)</f>
        <v>0</v>
      </c>
      <c r="J8" s="176" t="str">
        <f>VLOOKUP(A8,saisie!B$7:AL$26,10,0)</f>
        <v>Martinez Agathe</v>
      </c>
      <c r="K8" s="177">
        <f>VLOOKUP(A8,saisie!B$7:AL$26,11,0)</f>
        <v>97.6</v>
      </c>
      <c r="L8" s="177">
        <f>VLOOKUP(A8,saisie!B$7:AL$26,12,0)</f>
        <v>83.4</v>
      </c>
      <c r="M8" s="177">
        <f>VLOOKUP(A8,saisie!B$7:AL$26,13,0)</f>
        <v>91.9</v>
      </c>
      <c r="N8" s="178">
        <f>VLOOKUP(A8,saisie!B$7:AL$26,14,0)</f>
        <v>272.89999999999998</v>
      </c>
      <c r="O8" s="179">
        <f>VLOOKUP(A8,saisie!B$7:AL$26,15,0)</f>
        <v>0</v>
      </c>
      <c r="P8" s="176" t="str">
        <f>VLOOKUP(A8,saisie!B$7:AL$26,16,0)</f>
        <v>Greco Laura</v>
      </c>
      <c r="Q8" s="177">
        <f>VLOOKUP(A8,saisie!B$7:AL$26,17,0)</f>
        <v>83.4</v>
      </c>
      <c r="R8" s="177">
        <f>VLOOKUP(A8,saisie!B$7:AL$26,18,0)</f>
        <v>80.099999999999994</v>
      </c>
      <c r="S8" s="177">
        <f>VLOOKUP(A8,saisie!B$7:AL$26,19,0)</f>
        <v>87.5</v>
      </c>
      <c r="T8" s="178">
        <f>VLOOKUP(A8,saisie!B$7:AL$26,20,0)</f>
        <v>251</v>
      </c>
      <c r="U8" s="179">
        <f>VLOOKUP(A8,saisie!B$7:AL$26,21,0)</f>
        <v>0</v>
      </c>
      <c r="V8" s="176" t="str">
        <f>VLOOKUP(A8,saisie!B$7:AL$26,22,0)</f>
        <v>Letournel Solène</v>
      </c>
      <c r="W8" s="177">
        <f>VLOOKUP(A8,saisie!B$7:AL$26,23,0)</f>
        <v>93</v>
      </c>
      <c r="X8" s="177">
        <f>VLOOKUP(A8,saisie!B$7:AL$26,24,0)</f>
        <v>86.9</v>
      </c>
      <c r="Y8" s="177">
        <f>VLOOKUP(A8,saisie!B$7:AL$26,25,0)</f>
        <v>92.1</v>
      </c>
      <c r="Z8" s="178">
        <f>VLOOKUP(A8,saisie!B$7:AL$26,26,0)</f>
        <v>272</v>
      </c>
      <c r="AA8" s="179">
        <f>VLOOKUP(A8,saisie!B$7:AL$26,27,0)</f>
        <v>0</v>
      </c>
      <c r="AB8" s="176" t="str">
        <f>VLOOKUP(A8,saisie!B$7:AL$26,28,0)</f>
        <v>Maillet Denis</v>
      </c>
      <c r="AC8" s="177">
        <f>VLOOKUP(A8,saisie!B$7:AL$26,29,0)</f>
        <v>87.6</v>
      </c>
      <c r="AD8" s="177">
        <f>VLOOKUP(A8,saisie!B$7:AL$26,30,0)</f>
        <v>85.2</v>
      </c>
      <c r="AE8" s="177">
        <f>VLOOKUP(A8,saisie!B$7:AL$26,31,0)</f>
        <v>89.3</v>
      </c>
      <c r="AF8" s="178">
        <f>VLOOKUP(A8,saisie!B$7:AL$26,32,0)</f>
        <v>262.10000000000002</v>
      </c>
      <c r="AG8" s="179">
        <f>VLOOKUP(A8,saisie!B$7:AL$26,33,0)</f>
        <v>0</v>
      </c>
      <c r="AH8" s="173">
        <f>VLOOKUP(A8,saisie!B$7:AL$26,34,0)</f>
        <v>1342.1</v>
      </c>
      <c r="AI8" s="180">
        <f>VLOOKUP(A8,saisie!B$7:AL$26,35,0)</f>
        <v>0</v>
      </c>
      <c r="AJ8" s="181"/>
    </row>
    <row r="9" spans="1:42" s="182" customFormat="1" ht="153" customHeight="1">
      <c r="A9" s="173">
        <f>IF(INFO!B8&gt;2,3,"")</f>
        <v>3</v>
      </c>
      <c r="B9" s="174" t="str">
        <f>VLOOKUP(A9,saisie!B$7:AL$26,2,0)</f>
        <v>LA SALESIENNE HM</v>
      </c>
      <c r="C9" s="175">
        <f>VLOOKUP(A9,saisie!B$7:AL$26,3,0)</f>
        <v>2074155</v>
      </c>
      <c r="D9" s="176" t="str">
        <f>VLOOKUP(A9,saisie!B$7:AL$26,4,0)</f>
        <v>Hochart Pierre</v>
      </c>
      <c r="E9" s="177">
        <f>VLOOKUP(A9,saisie!B$7:AL$26,5,0)</f>
        <v>95.9</v>
      </c>
      <c r="F9" s="177">
        <f>VLOOKUP(A9,saisie!B$7:AL$26,6,0)</f>
        <v>97.1</v>
      </c>
      <c r="G9" s="177">
        <f>VLOOKUP(A9,saisie!B$7:AL$26,7,0)</f>
        <v>98.6</v>
      </c>
      <c r="H9" s="178">
        <f>VLOOKUP(A9,saisie!B$7:AL$26,8,0)</f>
        <v>291.60000000000002</v>
      </c>
      <c r="I9" s="179">
        <f>VLOOKUP(A9,saisie!B$7:AL$26,9,0)</f>
        <v>0</v>
      </c>
      <c r="J9" s="176" t="str">
        <f>VLOOKUP(A9,saisie!B$7:AL$26,10,0)</f>
        <v>Abbe Timéo</v>
      </c>
      <c r="K9" s="177">
        <f>VLOOKUP(A9,saisie!B$7:AL$26,11,0)</f>
        <v>97.6</v>
      </c>
      <c r="L9" s="177">
        <f>VLOOKUP(A9,saisie!B$7:AL$26,12,0)</f>
        <v>97.1</v>
      </c>
      <c r="M9" s="177">
        <f>VLOOKUP(A9,saisie!B$7:AL$26,13,0)</f>
        <v>100</v>
      </c>
      <c r="N9" s="178">
        <f>VLOOKUP(A9,saisie!B$7:AL$26,14,0)</f>
        <v>294.7</v>
      </c>
      <c r="O9" s="179">
        <f>VLOOKUP(A9,saisie!B$7:AL$26,15,0)</f>
        <v>0</v>
      </c>
      <c r="P9" s="176" t="str">
        <f>VLOOKUP(A9,saisie!B$7:AL$26,16,0)</f>
        <v>Montauriol Ludovic</v>
      </c>
      <c r="Q9" s="177">
        <f>VLOOKUP(A9,saisie!B$7:AL$26,17,0)</f>
        <v>71.400000000000006</v>
      </c>
      <c r="R9" s="177">
        <f>VLOOKUP(A9,saisie!B$7:AL$26,18,0)</f>
        <v>80.8</v>
      </c>
      <c r="S9" s="177">
        <f>VLOOKUP(A9,saisie!B$7:AL$26,19,0)</f>
        <v>87.5</v>
      </c>
      <c r="T9" s="178">
        <f>VLOOKUP(A9,saisie!B$7:AL$26,20,0)</f>
        <v>239.7</v>
      </c>
      <c r="U9" s="179">
        <f>VLOOKUP(A9,saisie!B$7:AL$26,21,0)</f>
        <v>0</v>
      </c>
      <c r="V9" s="176" t="str">
        <f>VLOOKUP(A9,saisie!B$7:AL$26,22,0)</f>
        <v>Legal Adeline</v>
      </c>
      <c r="W9" s="177">
        <f>VLOOKUP(A9,saisie!B$7:AL$26,23,0)</f>
        <v>88.6</v>
      </c>
      <c r="X9" s="177">
        <f>VLOOKUP(A9,saisie!B$7:AL$26,24,0)</f>
        <v>84.7</v>
      </c>
      <c r="Y9" s="177">
        <f>VLOOKUP(A9,saisie!B$7:AL$26,25,0)</f>
        <v>91.8</v>
      </c>
      <c r="Z9" s="178">
        <f>VLOOKUP(A9,saisie!B$7:AL$26,26,0)</f>
        <v>265.10000000000002</v>
      </c>
      <c r="AA9" s="179">
        <f>VLOOKUP(A9,saisie!B$7:AL$26,27,0)</f>
        <v>0</v>
      </c>
      <c r="AB9" s="176" t="str">
        <f>VLOOKUP(A9,saisie!B$7:AL$26,28,0)</f>
        <v>Ismail Féthi</v>
      </c>
      <c r="AC9" s="177">
        <f>VLOOKUP(A9,saisie!B$7:AL$26,29,0)</f>
        <v>78.7</v>
      </c>
      <c r="AD9" s="177">
        <f>VLOOKUP(A9,saisie!B$7:AL$26,30,0)</f>
        <v>77.900000000000006</v>
      </c>
      <c r="AE9" s="177">
        <f>VLOOKUP(A9,saisie!B$7:AL$26,31,0)</f>
        <v>83.5</v>
      </c>
      <c r="AF9" s="178">
        <f>VLOOKUP(A9,saisie!B$7:AL$26,32,0)</f>
        <v>240.10000000000002</v>
      </c>
      <c r="AG9" s="179">
        <f>VLOOKUP(A9,saisie!B$7:AL$26,33,0)</f>
        <v>0</v>
      </c>
      <c r="AH9" s="173">
        <f>VLOOKUP(A9,saisie!B$7:AL$26,34,0)</f>
        <v>1331.1999999999998</v>
      </c>
      <c r="AI9" s="180">
        <f>VLOOKUP(A9,saisie!B$7:AL$26,35,0)</f>
        <v>0</v>
      </c>
      <c r="AJ9" s="181"/>
    </row>
    <row r="10" spans="1:42" s="182" customFormat="1" ht="153" customHeight="1">
      <c r="A10" s="173" t="str">
        <f>IF(INFO!B8&gt;3,4,"")</f>
        <v/>
      </c>
      <c r="B10" s="174" t="e">
        <f>VLOOKUP(A10,saisie!B$7:AL$26,2,0)</f>
        <v>#N/A</v>
      </c>
      <c r="C10" s="175" t="e">
        <f>VLOOKUP(A10,saisie!B$7:AL$26,3,0)</f>
        <v>#N/A</v>
      </c>
      <c r="D10" s="176" t="e">
        <f>VLOOKUP(A10,saisie!B$7:AL$26,4,0)</f>
        <v>#N/A</v>
      </c>
      <c r="E10" s="177" t="e">
        <f>VLOOKUP(A10,saisie!B$7:AL$26,5,0)</f>
        <v>#N/A</v>
      </c>
      <c r="F10" s="177" t="e">
        <f>VLOOKUP(A10,saisie!B$7:AL$26,6,0)</f>
        <v>#N/A</v>
      </c>
      <c r="G10" s="177" t="e">
        <f>VLOOKUP(A10,saisie!B$7:AL$26,7,0)</f>
        <v>#N/A</v>
      </c>
      <c r="H10" s="178" t="e">
        <f>VLOOKUP(A10,saisie!B$7:AL$26,8,0)</f>
        <v>#N/A</v>
      </c>
      <c r="I10" s="179" t="e">
        <f>VLOOKUP(A10,saisie!B$7:AL$26,9,0)</f>
        <v>#N/A</v>
      </c>
      <c r="J10" s="176" t="e">
        <f>VLOOKUP(A10,saisie!B$7:AL$26,10,0)</f>
        <v>#N/A</v>
      </c>
      <c r="K10" s="177" t="e">
        <f>VLOOKUP(A10,saisie!B$7:AL$26,11,0)</f>
        <v>#N/A</v>
      </c>
      <c r="L10" s="177" t="e">
        <f>VLOOKUP(A10,saisie!B$7:AL$26,12,0)</f>
        <v>#N/A</v>
      </c>
      <c r="M10" s="177" t="e">
        <f>VLOOKUP(A10,saisie!B$7:AL$26,13,0)</f>
        <v>#N/A</v>
      </c>
      <c r="N10" s="178" t="e">
        <f>VLOOKUP(A10,saisie!B$7:AL$26,14,0)</f>
        <v>#N/A</v>
      </c>
      <c r="O10" s="179" t="e">
        <f>VLOOKUP(A10,saisie!B$7:AL$26,15,0)</f>
        <v>#N/A</v>
      </c>
      <c r="P10" s="176" t="e">
        <f>VLOOKUP(A10,saisie!B$7:AL$26,16,0)</f>
        <v>#N/A</v>
      </c>
      <c r="Q10" s="177" t="e">
        <f>VLOOKUP(A10,saisie!B$7:AL$26,17,0)</f>
        <v>#N/A</v>
      </c>
      <c r="R10" s="177" t="e">
        <f>VLOOKUP(A10,saisie!B$7:AL$26,18,0)</f>
        <v>#N/A</v>
      </c>
      <c r="S10" s="177" t="e">
        <f>VLOOKUP(A10,saisie!B$7:AL$26,19,0)</f>
        <v>#N/A</v>
      </c>
      <c r="T10" s="178" t="e">
        <f>VLOOKUP(A10,saisie!B$7:AL$26,20,0)</f>
        <v>#N/A</v>
      </c>
      <c r="U10" s="179" t="e">
        <f>VLOOKUP(A10,saisie!B$7:AL$26,21,0)</f>
        <v>#N/A</v>
      </c>
      <c r="V10" s="176" t="e">
        <f>VLOOKUP(A10,saisie!B$7:AL$26,22,0)</f>
        <v>#N/A</v>
      </c>
      <c r="W10" s="177" t="e">
        <f>VLOOKUP(A10,saisie!B$7:AL$26,23,0)</f>
        <v>#N/A</v>
      </c>
      <c r="X10" s="177" t="e">
        <f>VLOOKUP(A10,saisie!B$7:AL$26,24,0)</f>
        <v>#N/A</v>
      </c>
      <c r="Y10" s="177" t="e">
        <f>VLOOKUP(A10,saisie!B$7:AL$26,25,0)</f>
        <v>#N/A</v>
      </c>
      <c r="Z10" s="178" t="e">
        <f>VLOOKUP(A10,saisie!B$7:AL$26,26,0)</f>
        <v>#N/A</v>
      </c>
      <c r="AA10" s="179" t="e">
        <f>VLOOKUP(A10,saisie!B$7:AL$26,27,0)</f>
        <v>#N/A</v>
      </c>
      <c r="AB10" s="176" t="e">
        <f>VLOOKUP(A10,saisie!B$7:AL$26,28,0)</f>
        <v>#N/A</v>
      </c>
      <c r="AC10" s="177" t="e">
        <f>VLOOKUP(A10,saisie!B$7:AL$26,29,0)</f>
        <v>#N/A</v>
      </c>
      <c r="AD10" s="177" t="e">
        <f>VLOOKUP(A10,saisie!B$7:AL$26,30,0)</f>
        <v>#N/A</v>
      </c>
      <c r="AE10" s="177" t="e">
        <f>VLOOKUP(A10,saisie!B$7:AL$26,31,0)</f>
        <v>#N/A</v>
      </c>
      <c r="AF10" s="178" t="e">
        <f>VLOOKUP(A10,saisie!B$7:AL$26,32,0)</f>
        <v>#N/A</v>
      </c>
      <c r="AG10" s="179" t="e">
        <f>VLOOKUP(A10,saisie!B$7:AL$26,33,0)</f>
        <v>#N/A</v>
      </c>
      <c r="AH10" s="173" t="e">
        <f>VLOOKUP(A10,saisie!B$7:AL$26,34,0)</f>
        <v>#N/A</v>
      </c>
      <c r="AI10" s="180" t="e">
        <f>VLOOKUP(A10,saisie!B$7:AL$26,35,0)</f>
        <v>#N/A</v>
      </c>
      <c r="AJ10" s="181"/>
    </row>
    <row r="11" spans="1:42" s="182" customFormat="1" ht="153" customHeight="1">
      <c r="A11" s="173" t="str">
        <f>IF(INFO!B8&gt;4,5,"")</f>
        <v/>
      </c>
      <c r="B11" s="174" t="e">
        <f>VLOOKUP(A11,saisie!B$7:AL$26,2,0)</f>
        <v>#N/A</v>
      </c>
      <c r="C11" s="175" t="e">
        <f>VLOOKUP(A11,saisie!B$7:AL$26,3,0)</f>
        <v>#N/A</v>
      </c>
      <c r="D11" s="176" t="e">
        <f>VLOOKUP(A11,saisie!B$7:AL$26,4,0)</f>
        <v>#N/A</v>
      </c>
      <c r="E11" s="177" t="e">
        <f>VLOOKUP(A11,saisie!B$7:AL$26,5,0)</f>
        <v>#N/A</v>
      </c>
      <c r="F11" s="177" t="e">
        <f>VLOOKUP(A11,saisie!B$7:AL$26,6,0)</f>
        <v>#N/A</v>
      </c>
      <c r="G11" s="177" t="e">
        <f>VLOOKUP(A11,saisie!B$7:AL$26,7,0)</f>
        <v>#N/A</v>
      </c>
      <c r="H11" s="178" t="e">
        <f>VLOOKUP(A11,saisie!B$7:AL$26,8,0)</f>
        <v>#N/A</v>
      </c>
      <c r="I11" s="179" t="e">
        <f>VLOOKUP(A11,saisie!B$7:AL$26,9,0)</f>
        <v>#N/A</v>
      </c>
      <c r="J11" s="176" t="e">
        <f>VLOOKUP(A11,saisie!B$7:AL$26,10,0)</f>
        <v>#N/A</v>
      </c>
      <c r="K11" s="177" t="e">
        <f>VLOOKUP(A11,saisie!B$7:AL$26,11,0)</f>
        <v>#N/A</v>
      </c>
      <c r="L11" s="177" t="e">
        <f>VLOOKUP(A11,saisie!B$7:AL$26,12,0)</f>
        <v>#N/A</v>
      </c>
      <c r="M11" s="177" t="e">
        <f>VLOOKUP(A11,saisie!B$7:AL$26,13,0)</f>
        <v>#N/A</v>
      </c>
      <c r="N11" s="178" t="e">
        <f>VLOOKUP(A11,saisie!B$7:AL$26,14,0)</f>
        <v>#N/A</v>
      </c>
      <c r="O11" s="179" t="e">
        <f>VLOOKUP(A11,saisie!B$7:AL$26,15,0)</f>
        <v>#N/A</v>
      </c>
      <c r="P11" s="176" t="e">
        <f>VLOOKUP(A11,saisie!B$7:AL$26,16,0)</f>
        <v>#N/A</v>
      </c>
      <c r="Q11" s="177" t="e">
        <f>VLOOKUP(A11,saisie!B$7:AL$26,17,0)</f>
        <v>#N/A</v>
      </c>
      <c r="R11" s="177" t="e">
        <f>VLOOKUP(A11,saisie!B$7:AL$26,18,0)</f>
        <v>#N/A</v>
      </c>
      <c r="S11" s="177" t="e">
        <f>VLOOKUP(A11,saisie!B$7:AL$26,19,0)</f>
        <v>#N/A</v>
      </c>
      <c r="T11" s="178" t="e">
        <f>VLOOKUP(A11,saisie!B$7:AL$26,20,0)</f>
        <v>#N/A</v>
      </c>
      <c r="U11" s="179" t="e">
        <f>VLOOKUP(A11,saisie!B$7:AL$26,21,0)</f>
        <v>#N/A</v>
      </c>
      <c r="V11" s="176" t="e">
        <f>VLOOKUP(A11,saisie!B$7:AL$26,22,0)</f>
        <v>#N/A</v>
      </c>
      <c r="W11" s="177" t="e">
        <f>VLOOKUP(A11,saisie!B$7:AL$26,23,0)</f>
        <v>#N/A</v>
      </c>
      <c r="X11" s="177" t="e">
        <f>VLOOKUP(A11,saisie!B$7:AL$26,24,0)</f>
        <v>#N/A</v>
      </c>
      <c r="Y11" s="177" t="e">
        <f>VLOOKUP(A11,saisie!B$7:AL$26,25,0)</f>
        <v>#N/A</v>
      </c>
      <c r="Z11" s="178" t="e">
        <f>VLOOKUP(A11,saisie!B$7:AL$26,26,0)</f>
        <v>#N/A</v>
      </c>
      <c r="AA11" s="179" t="e">
        <f>VLOOKUP(A11,saisie!B$7:AL$26,27,0)</f>
        <v>#N/A</v>
      </c>
      <c r="AB11" s="176" t="e">
        <f>VLOOKUP(A11,saisie!B$7:AL$26,28,0)</f>
        <v>#N/A</v>
      </c>
      <c r="AC11" s="177" t="e">
        <f>VLOOKUP(A11,saisie!B$7:AL$26,29,0)</f>
        <v>#N/A</v>
      </c>
      <c r="AD11" s="177" t="e">
        <f>VLOOKUP(A11,saisie!B$7:AL$26,30,0)</f>
        <v>#N/A</v>
      </c>
      <c r="AE11" s="177" t="e">
        <f>VLOOKUP(A11,saisie!B$7:AL$26,31,0)</f>
        <v>#N/A</v>
      </c>
      <c r="AF11" s="178" t="e">
        <f>VLOOKUP(A11,saisie!B$7:AL$26,32,0)</f>
        <v>#N/A</v>
      </c>
      <c r="AG11" s="179" t="e">
        <f>VLOOKUP(A11,saisie!B$7:AL$26,33,0)</f>
        <v>#N/A</v>
      </c>
      <c r="AH11" s="173" t="e">
        <f>VLOOKUP(A11,saisie!B$7:AL$26,34,0)</f>
        <v>#N/A</v>
      </c>
      <c r="AI11" s="180" t="e">
        <f>VLOOKUP(A11,saisie!B$7:AL$26,35,0)</f>
        <v>#N/A</v>
      </c>
      <c r="AJ11" s="181"/>
    </row>
    <row r="12" spans="1:42" s="182" customFormat="1" ht="153" customHeight="1">
      <c r="A12" s="173" t="str">
        <f>IF(INFO!B8&gt;5,6,"")</f>
        <v/>
      </c>
      <c r="B12" s="174" t="e">
        <f>VLOOKUP(A12,saisie!B$7:AL$26,2,0)</f>
        <v>#N/A</v>
      </c>
      <c r="C12" s="175" t="e">
        <f>VLOOKUP(A12,saisie!B$7:AL$26,3,0)</f>
        <v>#N/A</v>
      </c>
      <c r="D12" s="176" t="e">
        <f>VLOOKUP(A12,saisie!B$7:AL$26,4,0)</f>
        <v>#N/A</v>
      </c>
      <c r="E12" s="177" t="e">
        <f>VLOOKUP(A12,saisie!B$7:AL$26,5,0)</f>
        <v>#N/A</v>
      </c>
      <c r="F12" s="177" t="e">
        <f>VLOOKUP(A12,saisie!B$7:AL$26,6,0)</f>
        <v>#N/A</v>
      </c>
      <c r="G12" s="177" t="e">
        <f>VLOOKUP(A12,saisie!B$7:AL$26,7,0)</f>
        <v>#N/A</v>
      </c>
      <c r="H12" s="178" t="e">
        <f>VLOOKUP(A12,saisie!B$7:AL$26,8,0)</f>
        <v>#N/A</v>
      </c>
      <c r="I12" s="179" t="e">
        <f>VLOOKUP(A12,saisie!B$7:AL$26,9,0)</f>
        <v>#N/A</v>
      </c>
      <c r="J12" s="176" t="e">
        <f>VLOOKUP(A12,saisie!B$7:AL$26,10,0)</f>
        <v>#N/A</v>
      </c>
      <c r="K12" s="177" t="e">
        <f>VLOOKUP(A12,saisie!B$7:AL$26,11,0)</f>
        <v>#N/A</v>
      </c>
      <c r="L12" s="177" t="e">
        <f>VLOOKUP(A12,saisie!B$7:AL$26,12,0)</f>
        <v>#N/A</v>
      </c>
      <c r="M12" s="177" t="e">
        <f>VLOOKUP(A12,saisie!B$7:AL$26,13,0)</f>
        <v>#N/A</v>
      </c>
      <c r="N12" s="178" t="e">
        <f>VLOOKUP(A12,saisie!B$7:AL$26,14,0)</f>
        <v>#N/A</v>
      </c>
      <c r="O12" s="179" t="e">
        <f>VLOOKUP(A12,saisie!B$7:AL$26,15,0)</f>
        <v>#N/A</v>
      </c>
      <c r="P12" s="176" t="e">
        <f>VLOOKUP(A12,saisie!B$7:AL$26,16,0)</f>
        <v>#N/A</v>
      </c>
      <c r="Q12" s="177" t="e">
        <f>VLOOKUP(A12,saisie!B$7:AL$26,17,0)</f>
        <v>#N/A</v>
      </c>
      <c r="R12" s="177" t="e">
        <f>VLOOKUP(A12,saisie!B$7:AL$26,18,0)</f>
        <v>#N/A</v>
      </c>
      <c r="S12" s="177" t="e">
        <f>VLOOKUP(A12,saisie!B$7:AL$26,19,0)</f>
        <v>#N/A</v>
      </c>
      <c r="T12" s="178" t="e">
        <f>VLOOKUP(A12,saisie!B$7:AL$26,20,0)</f>
        <v>#N/A</v>
      </c>
      <c r="U12" s="179" t="e">
        <f>VLOOKUP(A12,saisie!B$7:AL$26,21,0)</f>
        <v>#N/A</v>
      </c>
      <c r="V12" s="176" t="e">
        <f>VLOOKUP(A12,saisie!B$7:AL$26,22,0)</f>
        <v>#N/A</v>
      </c>
      <c r="W12" s="177" t="e">
        <f>VLOOKUP(A12,saisie!B$7:AL$26,23,0)</f>
        <v>#N/A</v>
      </c>
      <c r="X12" s="177" t="e">
        <f>VLOOKUP(A12,saisie!B$7:AL$26,24,0)</f>
        <v>#N/A</v>
      </c>
      <c r="Y12" s="177" t="e">
        <f>VLOOKUP(A12,saisie!B$7:AL$26,25,0)</f>
        <v>#N/A</v>
      </c>
      <c r="Z12" s="178" t="e">
        <f>VLOOKUP(A12,saisie!B$7:AL$26,26,0)</f>
        <v>#N/A</v>
      </c>
      <c r="AA12" s="179" t="e">
        <f>VLOOKUP(A12,saisie!B$7:AL$26,27,0)</f>
        <v>#N/A</v>
      </c>
      <c r="AB12" s="176" t="e">
        <f>VLOOKUP(A12,saisie!B$7:AL$26,28,0)</f>
        <v>#N/A</v>
      </c>
      <c r="AC12" s="177" t="e">
        <f>VLOOKUP(A12,saisie!B$7:AL$26,29,0)</f>
        <v>#N/A</v>
      </c>
      <c r="AD12" s="177" t="e">
        <f>VLOOKUP(A12,saisie!B$7:AL$26,30,0)</f>
        <v>#N/A</v>
      </c>
      <c r="AE12" s="177" t="e">
        <f>VLOOKUP(A12,saisie!B$7:AL$26,31,0)</f>
        <v>#N/A</v>
      </c>
      <c r="AF12" s="178" t="e">
        <f>VLOOKUP(A12,saisie!B$7:AL$26,32,0)</f>
        <v>#N/A</v>
      </c>
      <c r="AG12" s="179" t="e">
        <f>VLOOKUP(A12,saisie!B$7:AL$26,33,0)</f>
        <v>#N/A</v>
      </c>
      <c r="AH12" s="173" t="e">
        <f>VLOOKUP(A12,saisie!B$7:AL$26,34,0)</f>
        <v>#N/A</v>
      </c>
      <c r="AI12" s="180" t="e">
        <f>VLOOKUP(A12,saisie!B$7:AL$26,35,0)</f>
        <v>#N/A</v>
      </c>
      <c r="AJ12" s="181"/>
    </row>
    <row r="13" spans="1:42" s="182" customFormat="1" ht="153" customHeight="1">
      <c r="A13" s="173" t="str">
        <f>IF(INFO!B8&gt;6,7,"")</f>
        <v/>
      </c>
      <c r="B13" s="174" t="e">
        <f>VLOOKUP(A13,saisie!B$7:AL$26,2,0)</f>
        <v>#N/A</v>
      </c>
      <c r="C13" s="175" t="e">
        <f>VLOOKUP(A13,saisie!B$7:AL$26,3,0)</f>
        <v>#N/A</v>
      </c>
      <c r="D13" s="176" t="e">
        <f>VLOOKUP(A13,saisie!B$7:AL$26,4,0)</f>
        <v>#N/A</v>
      </c>
      <c r="E13" s="177" t="e">
        <f>VLOOKUP(A13,saisie!B$7:AL$26,5,0)</f>
        <v>#N/A</v>
      </c>
      <c r="F13" s="177" t="e">
        <f>VLOOKUP(A13,saisie!B$7:AL$26,6,0)</f>
        <v>#N/A</v>
      </c>
      <c r="G13" s="177" t="e">
        <f>VLOOKUP(A13,saisie!B$7:AL$26,7,0)</f>
        <v>#N/A</v>
      </c>
      <c r="H13" s="178" t="e">
        <f>VLOOKUP(A13,saisie!B$7:AL$26,8,0)</f>
        <v>#N/A</v>
      </c>
      <c r="I13" s="179" t="e">
        <f>VLOOKUP(A13,saisie!B$7:AL$26,9,0)</f>
        <v>#N/A</v>
      </c>
      <c r="J13" s="176" t="e">
        <f>VLOOKUP(A13,saisie!B$7:AL$26,10,0)</f>
        <v>#N/A</v>
      </c>
      <c r="K13" s="177" t="e">
        <f>VLOOKUP(A13,saisie!B$7:AL$26,11,0)</f>
        <v>#N/A</v>
      </c>
      <c r="L13" s="177" t="e">
        <f>VLOOKUP(A13,saisie!B$7:AL$26,12,0)</f>
        <v>#N/A</v>
      </c>
      <c r="M13" s="177" t="e">
        <f>VLOOKUP(A13,saisie!B$7:AL$26,13,0)</f>
        <v>#N/A</v>
      </c>
      <c r="N13" s="178" t="e">
        <f>VLOOKUP(A13,saisie!B$7:AL$26,14,0)</f>
        <v>#N/A</v>
      </c>
      <c r="O13" s="179" t="e">
        <f>VLOOKUP(A13,saisie!B$7:AL$26,15,0)</f>
        <v>#N/A</v>
      </c>
      <c r="P13" s="176" t="e">
        <f>VLOOKUP(A13,saisie!B$7:AL$26,16,0)</f>
        <v>#N/A</v>
      </c>
      <c r="Q13" s="177" t="e">
        <f>VLOOKUP(A13,saisie!B$7:AL$26,17,0)</f>
        <v>#N/A</v>
      </c>
      <c r="R13" s="177" t="e">
        <f>VLOOKUP(A13,saisie!B$7:AL$26,18,0)</f>
        <v>#N/A</v>
      </c>
      <c r="S13" s="177" t="e">
        <f>VLOOKUP(A13,saisie!B$7:AL$26,19,0)</f>
        <v>#N/A</v>
      </c>
      <c r="T13" s="178" t="e">
        <f>VLOOKUP(A13,saisie!B$7:AL$26,20,0)</f>
        <v>#N/A</v>
      </c>
      <c r="U13" s="179" t="e">
        <f>VLOOKUP(A13,saisie!B$7:AL$26,21,0)</f>
        <v>#N/A</v>
      </c>
      <c r="V13" s="176" t="e">
        <f>VLOOKUP(A13,saisie!B$7:AL$26,22,0)</f>
        <v>#N/A</v>
      </c>
      <c r="W13" s="177" t="e">
        <f>VLOOKUP(A13,saisie!B$7:AL$26,23,0)</f>
        <v>#N/A</v>
      </c>
      <c r="X13" s="177" t="e">
        <f>VLOOKUP(A13,saisie!B$7:AL$26,24,0)</f>
        <v>#N/A</v>
      </c>
      <c r="Y13" s="177" t="e">
        <f>VLOOKUP(A13,saisie!B$7:AL$26,25,0)</f>
        <v>#N/A</v>
      </c>
      <c r="Z13" s="178" t="e">
        <f>VLOOKUP(A13,saisie!B$7:AL$26,26,0)</f>
        <v>#N/A</v>
      </c>
      <c r="AA13" s="179" t="e">
        <f>VLOOKUP(A13,saisie!B$7:AL$26,27,0)</f>
        <v>#N/A</v>
      </c>
      <c r="AB13" s="176" t="e">
        <f>VLOOKUP(A13,saisie!B$7:AL$26,28,0)</f>
        <v>#N/A</v>
      </c>
      <c r="AC13" s="177" t="e">
        <f>VLOOKUP(A13,saisie!B$7:AL$26,29,0)</f>
        <v>#N/A</v>
      </c>
      <c r="AD13" s="177" t="e">
        <f>VLOOKUP(A13,saisie!B$7:AL$26,30,0)</f>
        <v>#N/A</v>
      </c>
      <c r="AE13" s="177" t="e">
        <f>VLOOKUP(A13,saisie!B$7:AL$26,31,0)</f>
        <v>#N/A</v>
      </c>
      <c r="AF13" s="178" t="e">
        <f>VLOOKUP(A13,saisie!B$7:AL$26,32,0)</f>
        <v>#N/A</v>
      </c>
      <c r="AG13" s="179" t="e">
        <f>VLOOKUP(A13,saisie!B$7:AL$26,33,0)</f>
        <v>#N/A</v>
      </c>
      <c r="AH13" s="173" t="e">
        <f>VLOOKUP(A13,saisie!B$7:AL$26,34,0)</f>
        <v>#N/A</v>
      </c>
      <c r="AI13" s="180" t="e">
        <f>VLOOKUP(A13,saisie!B$7:AL$26,35,0)</f>
        <v>#N/A</v>
      </c>
      <c r="AJ13" s="181"/>
    </row>
    <row r="14" spans="1:42" s="182" customFormat="1" ht="153" customHeight="1">
      <c r="A14" s="173" t="str">
        <f>IF(INFO!B8&gt;7,8,"")</f>
        <v/>
      </c>
      <c r="B14" s="174" t="e">
        <f>VLOOKUP(A14,saisie!B$7:AL$26,2,0)</f>
        <v>#N/A</v>
      </c>
      <c r="C14" s="175" t="e">
        <f>VLOOKUP(A14,saisie!B$7:AL$26,3,0)</f>
        <v>#N/A</v>
      </c>
      <c r="D14" s="176" t="e">
        <f>VLOOKUP(A14,saisie!B$7:AL$26,4,0)</f>
        <v>#N/A</v>
      </c>
      <c r="E14" s="177" t="e">
        <f>VLOOKUP(A14,saisie!B$7:AL$26,5,0)</f>
        <v>#N/A</v>
      </c>
      <c r="F14" s="177" t="e">
        <f>VLOOKUP(A14,saisie!B$7:AL$26,6,0)</f>
        <v>#N/A</v>
      </c>
      <c r="G14" s="177" t="e">
        <f>VLOOKUP(A14,saisie!B$7:AL$26,7,0)</f>
        <v>#N/A</v>
      </c>
      <c r="H14" s="178" t="e">
        <f>VLOOKUP(A14,saisie!B$7:AL$26,8,0)</f>
        <v>#N/A</v>
      </c>
      <c r="I14" s="179" t="e">
        <f>VLOOKUP(A14,saisie!B$7:AL$26,9,0)</f>
        <v>#N/A</v>
      </c>
      <c r="J14" s="176" t="e">
        <f>VLOOKUP(A14,saisie!B$7:AL$26,10,0)</f>
        <v>#N/A</v>
      </c>
      <c r="K14" s="177" t="e">
        <f>VLOOKUP(A14,saisie!B$7:AL$26,11,0)</f>
        <v>#N/A</v>
      </c>
      <c r="L14" s="177" t="e">
        <f>VLOOKUP(A14,saisie!B$7:AL$26,12,0)</f>
        <v>#N/A</v>
      </c>
      <c r="M14" s="177" t="e">
        <f>VLOOKUP(A14,saisie!B$7:AL$26,13,0)</f>
        <v>#N/A</v>
      </c>
      <c r="N14" s="178" t="e">
        <f>VLOOKUP(A14,saisie!B$7:AL$26,14,0)</f>
        <v>#N/A</v>
      </c>
      <c r="O14" s="179" t="e">
        <f>VLOOKUP(A14,saisie!B$7:AL$26,15,0)</f>
        <v>#N/A</v>
      </c>
      <c r="P14" s="176" t="e">
        <f>VLOOKUP(A14,saisie!B$7:AL$26,16,0)</f>
        <v>#N/A</v>
      </c>
      <c r="Q14" s="177" t="e">
        <f>VLOOKUP(A14,saisie!B$7:AL$26,17,0)</f>
        <v>#N/A</v>
      </c>
      <c r="R14" s="177" t="e">
        <f>VLOOKUP(A14,saisie!B$7:AL$26,18,0)</f>
        <v>#N/A</v>
      </c>
      <c r="S14" s="177" t="e">
        <f>VLOOKUP(A14,saisie!B$7:AL$26,19,0)</f>
        <v>#N/A</v>
      </c>
      <c r="T14" s="178" t="e">
        <f>VLOOKUP(A14,saisie!B$7:AL$26,20,0)</f>
        <v>#N/A</v>
      </c>
      <c r="U14" s="179" t="e">
        <f>VLOOKUP(A14,saisie!B$7:AL$26,21,0)</f>
        <v>#N/A</v>
      </c>
      <c r="V14" s="176" t="e">
        <f>VLOOKUP(A14,saisie!B$7:AL$26,22,0)</f>
        <v>#N/A</v>
      </c>
      <c r="W14" s="177" t="e">
        <f>VLOOKUP(A14,saisie!B$7:AL$26,23,0)</f>
        <v>#N/A</v>
      </c>
      <c r="X14" s="177" t="e">
        <f>VLOOKUP(A14,saisie!B$7:AL$26,24,0)</f>
        <v>#N/A</v>
      </c>
      <c r="Y14" s="177" t="e">
        <f>VLOOKUP(A14,saisie!B$7:AL$26,25,0)</f>
        <v>#N/A</v>
      </c>
      <c r="Z14" s="178" t="e">
        <f>VLOOKUP(A14,saisie!B$7:AL$26,26,0)</f>
        <v>#N/A</v>
      </c>
      <c r="AA14" s="179" t="e">
        <f>VLOOKUP(A14,saisie!B$7:AL$26,27,0)</f>
        <v>#N/A</v>
      </c>
      <c r="AB14" s="176" t="e">
        <f>VLOOKUP(A14,saisie!B$7:AL$26,28,0)</f>
        <v>#N/A</v>
      </c>
      <c r="AC14" s="177" t="e">
        <f>VLOOKUP(A14,saisie!B$7:AL$26,29,0)</f>
        <v>#N/A</v>
      </c>
      <c r="AD14" s="177" t="e">
        <f>VLOOKUP(A14,saisie!B$7:AL$26,30,0)</f>
        <v>#N/A</v>
      </c>
      <c r="AE14" s="177" t="e">
        <f>VLOOKUP(A14,saisie!B$7:AL$26,31,0)</f>
        <v>#N/A</v>
      </c>
      <c r="AF14" s="178" t="e">
        <f>VLOOKUP(A14,saisie!B$7:AL$26,32,0)</f>
        <v>#N/A</v>
      </c>
      <c r="AG14" s="179" t="e">
        <f>VLOOKUP(A14,saisie!B$7:AL$26,33,0)</f>
        <v>#N/A</v>
      </c>
      <c r="AH14" s="173" t="e">
        <f>VLOOKUP(A14,saisie!B$7:AL$26,34,0)</f>
        <v>#N/A</v>
      </c>
      <c r="AI14" s="180" t="e">
        <f>VLOOKUP(A14,saisie!B$7:AL$26,35,0)</f>
        <v>#N/A</v>
      </c>
      <c r="AJ14" s="181"/>
    </row>
    <row r="15" spans="1:42" s="182" customFormat="1" ht="153" customHeight="1">
      <c r="A15" s="173" t="str">
        <f>IF(INFO!B8&gt;8,9,"")</f>
        <v/>
      </c>
      <c r="B15" s="174" t="e">
        <f>VLOOKUP(A15,saisie!B$7:AL$26,2,0)</f>
        <v>#N/A</v>
      </c>
      <c r="C15" s="175" t="e">
        <f>VLOOKUP(A15,saisie!B$7:AL$26,3,0)</f>
        <v>#N/A</v>
      </c>
      <c r="D15" s="176" t="e">
        <f>VLOOKUP(A15,saisie!B$7:AL$26,4,0)</f>
        <v>#N/A</v>
      </c>
      <c r="E15" s="177" t="e">
        <f>VLOOKUP(A15,saisie!B$7:AL$26,5,0)</f>
        <v>#N/A</v>
      </c>
      <c r="F15" s="177" t="e">
        <f>VLOOKUP(A15,saisie!B$7:AL$26,6,0)</f>
        <v>#N/A</v>
      </c>
      <c r="G15" s="177" t="e">
        <f>VLOOKUP(A15,saisie!B$7:AL$26,7,0)</f>
        <v>#N/A</v>
      </c>
      <c r="H15" s="178" t="e">
        <f>VLOOKUP(A15,saisie!B$7:AL$26,8,0)</f>
        <v>#N/A</v>
      </c>
      <c r="I15" s="179" t="e">
        <f>VLOOKUP(A15,saisie!B$7:AL$26,9,0)</f>
        <v>#N/A</v>
      </c>
      <c r="J15" s="176" t="e">
        <f>VLOOKUP(A15,saisie!B$7:AL$26,10,0)</f>
        <v>#N/A</v>
      </c>
      <c r="K15" s="177" t="e">
        <f>VLOOKUP(A15,saisie!B$7:AL$26,11,0)</f>
        <v>#N/A</v>
      </c>
      <c r="L15" s="177" t="e">
        <f>VLOOKUP(A15,saisie!B$7:AL$26,12,0)</f>
        <v>#N/A</v>
      </c>
      <c r="M15" s="177" t="e">
        <f>VLOOKUP(A15,saisie!B$7:AL$26,13,0)</f>
        <v>#N/A</v>
      </c>
      <c r="N15" s="178" t="e">
        <f>VLOOKUP(A15,saisie!B$7:AL$26,14,0)</f>
        <v>#N/A</v>
      </c>
      <c r="O15" s="179" t="e">
        <f>VLOOKUP(A15,saisie!B$7:AL$26,15,0)</f>
        <v>#N/A</v>
      </c>
      <c r="P15" s="176" t="e">
        <f>VLOOKUP(A15,saisie!B$7:AL$26,16,0)</f>
        <v>#N/A</v>
      </c>
      <c r="Q15" s="177" t="e">
        <f>VLOOKUP(A15,saisie!B$7:AL$26,17,0)</f>
        <v>#N/A</v>
      </c>
      <c r="R15" s="177" t="e">
        <f>VLOOKUP(A15,saisie!B$7:AL$26,18,0)</f>
        <v>#N/A</v>
      </c>
      <c r="S15" s="177" t="e">
        <f>VLOOKUP(A15,saisie!B$7:AL$26,19,0)</f>
        <v>#N/A</v>
      </c>
      <c r="T15" s="178" t="e">
        <f>VLOOKUP(A15,saisie!B$7:AL$26,20,0)</f>
        <v>#N/A</v>
      </c>
      <c r="U15" s="179" t="e">
        <f>VLOOKUP(A15,saisie!B$7:AL$26,21,0)</f>
        <v>#N/A</v>
      </c>
      <c r="V15" s="176" t="e">
        <f>VLOOKUP(A15,saisie!B$7:AL$26,22,0)</f>
        <v>#N/A</v>
      </c>
      <c r="W15" s="177" t="e">
        <f>VLOOKUP(A15,saisie!B$7:AL$26,23,0)</f>
        <v>#N/A</v>
      </c>
      <c r="X15" s="177" t="e">
        <f>VLOOKUP(A15,saisie!B$7:AL$26,24,0)</f>
        <v>#N/A</v>
      </c>
      <c r="Y15" s="177" t="e">
        <f>VLOOKUP(A15,saisie!B$7:AL$26,25,0)</f>
        <v>#N/A</v>
      </c>
      <c r="Z15" s="178" t="e">
        <f>VLOOKUP(A15,saisie!B$7:AL$26,26,0)</f>
        <v>#N/A</v>
      </c>
      <c r="AA15" s="179" t="e">
        <f>VLOOKUP(A15,saisie!B$7:AL$26,27,0)</f>
        <v>#N/A</v>
      </c>
      <c r="AB15" s="176" t="e">
        <f>VLOOKUP(A15,saisie!B$7:AL$26,28,0)</f>
        <v>#N/A</v>
      </c>
      <c r="AC15" s="177" t="e">
        <f>VLOOKUP(A15,saisie!B$7:AL$26,29,0)</f>
        <v>#N/A</v>
      </c>
      <c r="AD15" s="177" t="e">
        <f>VLOOKUP(A15,saisie!B$7:AL$26,30,0)</f>
        <v>#N/A</v>
      </c>
      <c r="AE15" s="177" t="e">
        <f>VLOOKUP(A15,saisie!B$7:AL$26,31,0)</f>
        <v>#N/A</v>
      </c>
      <c r="AF15" s="178" t="e">
        <f>VLOOKUP(A15,saisie!B$7:AL$26,32,0)</f>
        <v>#N/A</v>
      </c>
      <c r="AG15" s="179" t="e">
        <f>VLOOKUP(A15,saisie!B$7:AL$26,33,0)</f>
        <v>#N/A</v>
      </c>
      <c r="AH15" s="173" t="e">
        <f>VLOOKUP(A15,saisie!B$7:AL$26,34,0)</f>
        <v>#N/A</v>
      </c>
      <c r="AI15" s="180" t="e">
        <f>VLOOKUP(A15,saisie!B$7:AL$26,35,0)</f>
        <v>#N/A</v>
      </c>
      <c r="AJ15" s="181"/>
    </row>
    <row r="16" spans="1:42" s="182" customFormat="1" ht="153" customHeight="1">
      <c r="A16" s="173" t="str">
        <f>IF(INFO!B8&gt;9,10,"")</f>
        <v/>
      </c>
      <c r="B16" s="174" t="e">
        <f>VLOOKUP(A16,saisie!B$7:AL$26,2,0)</f>
        <v>#N/A</v>
      </c>
      <c r="C16" s="175" t="e">
        <f>VLOOKUP(A16,saisie!B$7:AL$26,3,0)</f>
        <v>#N/A</v>
      </c>
      <c r="D16" s="176" t="e">
        <f>VLOOKUP(A16,saisie!B$7:AL$26,4,0)</f>
        <v>#N/A</v>
      </c>
      <c r="E16" s="177" t="e">
        <f>VLOOKUP(A16,saisie!B$7:AL$26,5,0)</f>
        <v>#N/A</v>
      </c>
      <c r="F16" s="177" t="e">
        <f>VLOOKUP(A16,saisie!B$7:AL$26,6,0)</f>
        <v>#N/A</v>
      </c>
      <c r="G16" s="177" t="e">
        <f>VLOOKUP(A16,saisie!B$7:AL$26,7,0)</f>
        <v>#N/A</v>
      </c>
      <c r="H16" s="178" t="e">
        <f>VLOOKUP(A16,saisie!B$7:AL$26,8,0)</f>
        <v>#N/A</v>
      </c>
      <c r="I16" s="179" t="e">
        <f>VLOOKUP(A16,saisie!B$7:AL$26,9,0)</f>
        <v>#N/A</v>
      </c>
      <c r="J16" s="176" t="e">
        <f>VLOOKUP(A16,saisie!B$7:AL$26,10,0)</f>
        <v>#N/A</v>
      </c>
      <c r="K16" s="177" t="e">
        <f>VLOOKUP(A16,saisie!B$7:AL$26,11,0)</f>
        <v>#N/A</v>
      </c>
      <c r="L16" s="177" t="e">
        <f>VLOOKUP(A16,saisie!B$7:AL$26,12,0)</f>
        <v>#N/A</v>
      </c>
      <c r="M16" s="177" t="e">
        <f>VLOOKUP(A16,saisie!B$7:AL$26,13,0)</f>
        <v>#N/A</v>
      </c>
      <c r="N16" s="178" t="e">
        <f>VLOOKUP(A16,saisie!B$7:AL$26,14,0)</f>
        <v>#N/A</v>
      </c>
      <c r="O16" s="179" t="e">
        <f>VLOOKUP(A16,saisie!B$7:AL$26,15,0)</f>
        <v>#N/A</v>
      </c>
      <c r="P16" s="176" t="e">
        <f>VLOOKUP(A16,saisie!B$7:AL$26,16,0)</f>
        <v>#N/A</v>
      </c>
      <c r="Q16" s="177" t="e">
        <f>VLOOKUP(A16,saisie!B$7:AL$26,17,0)</f>
        <v>#N/A</v>
      </c>
      <c r="R16" s="177" t="e">
        <f>VLOOKUP(A16,saisie!B$7:AL$26,18,0)</f>
        <v>#N/A</v>
      </c>
      <c r="S16" s="177" t="e">
        <f>VLOOKUP(A16,saisie!B$7:AL$26,19,0)</f>
        <v>#N/A</v>
      </c>
      <c r="T16" s="178" t="e">
        <f>VLOOKUP(A16,saisie!B$7:AL$26,20,0)</f>
        <v>#N/A</v>
      </c>
      <c r="U16" s="179" t="e">
        <f>VLOOKUP(A16,saisie!B$7:AL$26,21,0)</f>
        <v>#N/A</v>
      </c>
      <c r="V16" s="176" t="e">
        <f>VLOOKUP(A16,saisie!B$7:AL$26,22,0)</f>
        <v>#N/A</v>
      </c>
      <c r="W16" s="177" t="e">
        <f>VLOOKUP(A16,saisie!B$7:AL$26,23,0)</f>
        <v>#N/A</v>
      </c>
      <c r="X16" s="177" t="e">
        <f>VLOOKUP(A16,saisie!B$7:AL$26,24,0)</f>
        <v>#N/A</v>
      </c>
      <c r="Y16" s="177" t="e">
        <f>VLOOKUP(A16,saisie!B$7:AL$26,25,0)</f>
        <v>#N/A</v>
      </c>
      <c r="Z16" s="178" t="e">
        <f>VLOOKUP(A16,saisie!B$7:AL$26,26,0)</f>
        <v>#N/A</v>
      </c>
      <c r="AA16" s="179" t="e">
        <f>VLOOKUP(A16,saisie!B$7:AL$26,27,0)</f>
        <v>#N/A</v>
      </c>
      <c r="AB16" s="176" t="e">
        <f>VLOOKUP(A16,saisie!B$7:AL$26,28,0)</f>
        <v>#N/A</v>
      </c>
      <c r="AC16" s="177" t="e">
        <f>VLOOKUP(A16,saisie!B$7:AL$26,29,0)</f>
        <v>#N/A</v>
      </c>
      <c r="AD16" s="177" t="e">
        <f>VLOOKUP(A16,saisie!B$7:AL$26,30,0)</f>
        <v>#N/A</v>
      </c>
      <c r="AE16" s="177" t="e">
        <f>VLOOKUP(A16,saisie!B$7:AL$26,31,0)</f>
        <v>#N/A</v>
      </c>
      <c r="AF16" s="178" t="e">
        <f>VLOOKUP(A16,saisie!B$7:AL$26,32,0)</f>
        <v>#N/A</v>
      </c>
      <c r="AG16" s="179" t="e">
        <f>VLOOKUP(A16,saisie!B$7:AL$26,33,0)</f>
        <v>#N/A</v>
      </c>
      <c r="AH16" s="173" t="e">
        <f>VLOOKUP(A16,saisie!B$7:AL$26,34,0)</f>
        <v>#N/A</v>
      </c>
      <c r="AI16" s="180" t="e">
        <f>VLOOKUP(A16,saisie!B$7:AL$26,35,0)</f>
        <v>#N/A</v>
      </c>
      <c r="AJ16" s="181"/>
    </row>
    <row r="17" spans="1:36" s="182" customFormat="1" ht="153" customHeight="1">
      <c r="A17" s="173" t="str">
        <f>IF(INFO!B8&gt;10,11,"")</f>
        <v/>
      </c>
      <c r="B17" s="174" t="e">
        <f>VLOOKUP(A17,saisie!B$7:AL$26,2,0)</f>
        <v>#N/A</v>
      </c>
      <c r="C17" s="175" t="e">
        <f>VLOOKUP(A17,saisie!B$7:AL$26,3,0)</f>
        <v>#N/A</v>
      </c>
      <c r="D17" s="176" t="e">
        <f>VLOOKUP(A17,saisie!B$7:AL$26,4,0)</f>
        <v>#N/A</v>
      </c>
      <c r="E17" s="177" t="e">
        <f>VLOOKUP(A17,saisie!B$7:AL$26,5,0)</f>
        <v>#N/A</v>
      </c>
      <c r="F17" s="177" t="e">
        <f>VLOOKUP(A17,saisie!B$7:AL$26,6,0)</f>
        <v>#N/A</v>
      </c>
      <c r="G17" s="177" t="e">
        <f>VLOOKUP(A17,saisie!B$7:AL$26,7,0)</f>
        <v>#N/A</v>
      </c>
      <c r="H17" s="178" t="e">
        <f>VLOOKUP(A17,saisie!B$7:AL$26,8,0)</f>
        <v>#N/A</v>
      </c>
      <c r="I17" s="179" t="e">
        <f>VLOOKUP(A17,saisie!B$7:AL$26,9,0)</f>
        <v>#N/A</v>
      </c>
      <c r="J17" s="176" t="e">
        <f>VLOOKUP(A17,saisie!B$7:AL$26,10,0)</f>
        <v>#N/A</v>
      </c>
      <c r="K17" s="177" t="e">
        <f>VLOOKUP(A17,saisie!B$7:AL$26,11,0)</f>
        <v>#N/A</v>
      </c>
      <c r="L17" s="177" t="e">
        <f>VLOOKUP(A17,saisie!B$7:AL$26,12,0)</f>
        <v>#N/A</v>
      </c>
      <c r="M17" s="177" t="e">
        <f>VLOOKUP(A17,saisie!B$7:AL$26,13,0)</f>
        <v>#N/A</v>
      </c>
      <c r="N17" s="178" t="e">
        <f>VLOOKUP(A17,saisie!B$7:AL$26,14,0)</f>
        <v>#N/A</v>
      </c>
      <c r="O17" s="179" t="e">
        <f>VLOOKUP(A17,saisie!B$7:AL$26,15,0)</f>
        <v>#N/A</v>
      </c>
      <c r="P17" s="176" t="e">
        <f>VLOOKUP(A17,saisie!B$7:AL$26,16,0)</f>
        <v>#N/A</v>
      </c>
      <c r="Q17" s="177" t="e">
        <f>VLOOKUP(A17,saisie!B$7:AL$26,17,0)</f>
        <v>#N/A</v>
      </c>
      <c r="R17" s="177" t="e">
        <f>VLOOKUP(A17,saisie!B$7:AL$26,18,0)</f>
        <v>#N/A</v>
      </c>
      <c r="S17" s="177" t="e">
        <f>VLOOKUP(A17,saisie!B$7:AL$26,19,0)</f>
        <v>#N/A</v>
      </c>
      <c r="T17" s="178" t="e">
        <f>VLOOKUP(A17,saisie!B$7:AL$26,20,0)</f>
        <v>#N/A</v>
      </c>
      <c r="U17" s="179" t="e">
        <f>VLOOKUP(A17,saisie!B$7:AL$26,21,0)</f>
        <v>#N/A</v>
      </c>
      <c r="V17" s="176" t="e">
        <f>VLOOKUP(A17,saisie!B$7:AL$26,22,0)</f>
        <v>#N/A</v>
      </c>
      <c r="W17" s="177" t="e">
        <f>VLOOKUP(A17,saisie!B$7:AL$26,23,0)</f>
        <v>#N/A</v>
      </c>
      <c r="X17" s="177" t="e">
        <f>VLOOKUP(A17,saisie!B$7:AL$26,24,0)</f>
        <v>#N/A</v>
      </c>
      <c r="Y17" s="177" t="e">
        <f>VLOOKUP(A17,saisie!B$7:AL$26,25,0)</f>
        <v>#N/A</v>
      </c>
      <c r="Z17" s="178" t="e">
        <f>VLOOKUP(A17,saisie!B$7:AL$26,26,0)</f>
        <v>#N/A</v>
      </c>
      <c r="AA17" s="179" t="e">
        <f>VLOOKUP(A17,saisie!B$7:AL$26,27,0)</f>
        <v>#N/A</v>
      </c>
      <c r="AB17" s="176" t="e">
        <f>VLOOKUP(A17,saisie!B$7:AL$26,28,0)</f>
        <v>#N/A</v>
      </c>
      <c r="AC17" s="177" t="e">
        <f>VLOOKUP(A17,saisie!B$7:AL$26,29,0)</f>
        <v>#N/A</v>
      </c>
      <c r="AD17" s="177" t="e">
        <f>VLOOKUP(A17,saisie!B$7:AL$26,30,0)</f>
        <v>#N/A</v>
      </c>
      <c r="AE17" s="177" t="e">
        <f>VLOOKUP(A17,saisie!B$7:AL$26,31,0)</f>
        <v>#N/A</v>
      </c>
      <c r="AF17" s="178" t="e">
        <f>VLOOKUP(A17,saisie!B$7:AL$26,32,0)</f>
        <v>#N/A</v>
      </c>
      <c r="AG17" s="179" t="e">
        <f>VLOOKUP(A17,saisie!B$7:AL$26,33,0)</f>
        <v>#N/A</v>
      </c>
      <c r="AH17" s="173" t="e">
        <f>VLOOKUP(A17,saisie!B$7:AL$26,34,0)</f>
        <v>#N/A</v>
      </c>
      <c r="AI17" s="180" t="e">
        <f>VLOOKUP(A17,saisie!B$7:AL$26,35,0)</f>
        <v>#N/A</v>
      </c>
      <c r="AJ17" s="181"/>
    </row>
    <row r="18" spans="1:36" s="182" customFormat="1" ht="153" customHeight="1">
      <c r="A18" s="173" t="str">
        <f>IF(INFO!B8&gt;11,12,"")</f>
        <v/>
      </c>
      <c r="B18" s="174" t="e">
        <f>VLOOKUP(A18,saisie!B$7:AL$26,2,0)</f>
        <v>#N/A</v>
      </c>
      <c r="C18" s="175" t="e">
        <f>VLOOKUP(A18,saisie!B$7:AL$26,3,0)</f>
        <v>#N/A</v>
      </c>
      <c r="D18" s="176" t="e">
        <f>VLOOKUP(A18,saisie!B$7:AL$26,4,0)</f>
        <v>#N/A</v>
      </c>
      <c r="E18" s="177" t="e">
        <f>VLOOKUP(A18,saisie!B$7:AL$26,5,0)</f>
        <v>#N/A</v>
      </c>
      <c r="F18" s="177" t="e">
        <f>VLOOKUP(A18,saisie!B$7:AL$26,6,0)</f>
        <v>#N/A</v>
      </c>
      <c r="G18" s="177" t="e">
        <f>VLOOKUP(A18,saisie!B$7:AL$26,7,0)</f>
        <v>#N/A</v>
      </c>
      <c r="H18" s="178" t="e">
        <f>VLOOKUP(A18,saisie!B$7:AL$26,8,0)</f>
        <v>#N/A</v>
      </c>
      <c r="I18" s="179" t="e">
        <f>VLOOKUP(A18,saisie!B$7:AL$26,9,0)</f>
        <v>#N/A</v>
      </c>
      <c r="J18" s="176" t="e">
        <f>VLOOKUP(A18,saisie!B$7:AL$26,10,0)</f>
        <v>#N/A</v>
      </c>
      <c r="K18" s="177" t="e">
        <f>VLOOKUP(A18,saisie!B$7:AL$26,11,0)</f>
        <v>#N/A</v>
      </c>
      <c r="L18" s="177" t="e">
        <f>VLOOKUP(A18,saisie!B$7:AL$26,12,0)</f>
        <v>#N/A</v>
      </c>
      <c r="M18" s="177" t="e">
        <f>VLOOKUP(A18,saisie!B$7:AL$26,13,0)</f>
        <v>#N/A</v>
      </c>
      <c r="N18" s="178" t="e">
        <f>VLOOKUP(A18,saisie!B$7:AL$26,14,0)</f>
        <v>#N/A</v>
      </c>
      <c r="O18" s="179" t="e">
        <f>VLOOKUP(A18,saisie!B$7:AL$26,15,0)</f>
        <v>#N/A</v>
      </c>
      <c r="P18" s="176" t="e">
        <f>VLOOKUP(A18,saisie!B$7:AL$26,16,0)</f>
        <v>#N/A</v>
      </c>
      <c r="Q18" s="177" t="e">
        <f>VLOOKUP(A18,saisie!B$7:AL$26,17,0)</f>
        <v>#N/A</v>
      </c>
      <c r="R18" s="177" t="e">
        <f>VLOOKUP(A18,saisie!B$7:AL$26,18,0)</f>
        <v>#N/A</v>
      </c>
      <c r="S18" s="177" t="e">
        <f>VLOOKUP(A18,saisie!B$7:AL$26,19,0)</f>
        <v>#N/A</v>
      </c>
      <c r="T18" s="178" t="e">
        <f>VLOOKUP(A18,saisie!B$7:AL$26,20,0)</f>
        <v>#N/A</v>
      </c>
      <c r="U18" s="179" t="e">
        <f>VLOOKUP(A18,saisie!B$7:AL$26,21,0)</f>
        <v>#N/A</v>
      </c>
      <c r="V18" s="176" t="e">
        <f>VLOOKUP(A18,saisie!B$7:AL$26,22,0)</f>
        <v>#N/A</v>
      </c>
      <c r="W18" s="177" t="e">
        <f>VLOOKUP(A18,saisie!B$7:AL$26,23,0)</f>
        <v>#N/A</v>
      </c>
      <c r="X18" s="177" t="e">
        <f>VLOOKUP(A18,saisie!B$7:AL$26,24,0)</f>
        <v>#N/A</v>
      </c>
      <c r="Y18" s="177" t="e">
        <f>VLOOKUP(A18,saisie!B$7:AL$26,25,0)</f>
        <v>#N/A</v>
      </c>
      <c r="Z18" s="178" t="e">
        <f>VLOOKUP(A18,saisie!B$7:AL$26,26,0)</f>
        <v>#N/A</v>
      </c>
      <c r="AA18" s="179" t="e">
        <f>VLOOKUP(A18,saisie!B$7:AL$26,27,0)</f>
        <v>#N/A</v>
      </c>
      <c r="AB18" s="176" t="e">
        <f>VLOOKUP(A18,saisie!B$7:AL$26,28,0)</f>
        <v>#N/A</v>
      </c>
      <c r="AC18" s="177" t="e">
        <f>VLOOKUP(A18,saisie!B$7:AL$26,29,0)</f>
        <v>#N/A</v>
      </c>
      <c r="AD18" s="177" t="e">
        <f>VLOOKUP(A18,saisie!B$7:AL$26,30,0)</f>
        <v>#N/A</v>
      </c>
      <c r="AE18" s="177" t="e">
        <f>VLOOKUP(A18,saisie!B$7:AL$26,31,0)</f>
        <v>#N/A</v>
      </c>
      <c r="AF18" s="178" t="e">
        <f>VLOOKUP(A18,saisie!B$7:AL$26,32,0)</f>
        <v>#N/A</v>
      </c>
      <c r="AG18" s="179" t="e">
        <f>VLOOKUP(A18,saisie!B$7:AL$26,33,0)</f>
        <v>#N/A</v>
      </c>
      <c r="AH18" s="173" t="e">
        <f>VLOOKUP(A18,saisie!B$7:AL$26,34,0)</f>
        <v>#N/A</v>
      </c>
      <c r="AI18" s="180" t="e">
        <f>VLOOKUP(A18,saisie!B$7:AL$26,35,0)</f>
        <v>#N/A</v>
      </c>
      <c r="AJ18" s="181"/>
    </row>
    <row r="19" spans="1:36" s="182" customFormat="1" ht="153" customHeight="1">
      <c r="A19" s="173" t="str">
        <f>IF(INFO!B8&gt;12,13,"")</f>
        <v/>
      </c>
      <c r="B19" s="174" t="e">
        <f>VLOOKUP(A19,saisie!B$7:AL$26,2,0)</f>
        <v>#N/A</v>
      </c>
      <c r="C19" s="175" t="e">
        <f>VLOOKUP(A19,saisie!B$7:AL$26,3,0)</f>
        <v>#N/A</v>
      </c>
      <c r="D19" s="176" t="e">
        <f>VLOOKUP(A19,saisie!B$7:AL$26,4,0)</f>
        <v>#N/A</v>
      </c>
      <c r="E19" s="177" t="e">
        <f>VLOOKUP(A19,saisie!B$7:AL$26,5,0)</f>
        <v>#N/A</v>
      </c>
      <c r="F19" s="177" t="e">
        <f>VLOOKUP(A19,saisie!B$7:AL$26,6,0)</f>
        <v>#N/A</v>
      </c>
      <c r="G19" s="177" t="e">
        <f>VLOOKUP(A19,saisie!B$7:AL$26,7,0)</f>
        <v>#N/A</v>
      </c>
      <c r="H19" s="178" t="e">
        <f>VLOOKUP(A19,saisie!B$7:AL$26,8,0)</f>
        <v>#N/A</v>
      </c>
      <c r="I19" s="179" t="e">
        <f>VLOOKUP(A19,saisie!B$7:AL$26,9,0)</f>
        <v>#N/A</v>
      </c>
      <c r="J19" s="176" t="e">
        <f>VLOOKUP(A19,saisie!B$7:AL$26,10,0)</f>
        <v>#N/A</v>
      </c>
      <c r="K19" s="177" t="e">
        <f>VLOOKUP(A19,saisie!B$7:AL$26,11,0)</f>
        <v>#N/A</v>
      </c>
      <c r="L19" s="177" t="e">
        <f>VLOOKUP(A19,saisie!B$7:AL$26,12,0)</f>
        <v>#N/A</v>
      </c>
      <c r="M19" s="177" t="e">
        <f>VLOOKUP(A19,saisie!B$7:AL$26,13,0)</f>
        <v>#N/A</v>
      </c>
      <c r="N19" s="178" t="e">
        <f>VLOOKUP(A19,saisie!B$7:AL$26,14,0)</f>
        <v>#N/A</v>
      </c>
      <c r="O19" s="179" t="e">
        <f>VLOOKUP(A19,saisie!B$7:AL$26,15,0)</f>
        <v>#N/A</v>
      </c>
      <c r="P19" s="176" t="e">
        <f>VLOOKUP(A19,saisie!B$7:AL$26,16,0)</f>
        <v>#N/A</v>
      </c>
      <c r="Q19" s="177" t="e">
        <f>VLOOKUP(A19,saisie!B$7:AL$26,17,0)</f>
        <v>#N/A</v>
      </c>
      <c r="R19" s="177" t="e">
        <f>VLOOKUP(A19,saisie!B$7:AL$26,18,0)</f>
        <v>#N/A</v>
      </c>
      <c r="S19" s="177" t="e">
        <f>VLOOKUP(A19,saisie!B$7:AL$26,19,0)</f>
        <v>#N/A</v>
      </c>
      <c r="T19" s="178" t="e">
        <f>VLOOKUP(A19,saisie!B$7:AL$26,20,0)</f>
        <v>#N/A</v>
      </c>
      <c r="U19" s="179" t="e">
        <f>VLOOKUP(A19,saisie!B$7:AL$26,21,0)</f>
        <v>#N/A</v>
      </c>
      <c r="V19" s="176" t="e">
        <f>VLOOKUP(A19,saisie!B$7:AL$26,22,0)</f>
        <v>#N/A</v>
      </c>
      <c r="W19" s="177" t="e">
        <f>VLOOKUP(A19,saisie!B$7:AL$26,23,0)</f>
        <v>#N/A</v>
      </c>
      <c r="X19" s="177" t="e">
        <f>VLOOKUP(A19,saisie!B$7:AL$26,24,0)</f>
        <v>#N/A</v>
      </c>
      <c r="Y19" s="177" t="e">
        <f>VLOOKUP(A19,saisie!B$7:AL$26,25,0)</f>
        <v>#N/A</v>
      </c>
      <c r="Z19" s="178" t="e">
        <f>VLOOKUP(A19,saisie!B$7:AL$26,26,0)</f>
        <v>#N/A</v>
      </c>
      <c r="AA19" s="179" t="e">
        <f>VLOOKUP(A19,saisie!B$7:AL$26,27,0)</f>
        <v>#N/A</v>
      </c>
      <c r="AB19" s="176" t="e">
        <f>VLOOKUP(A19,saisie!B$7:AL$26,28,0)</f>
        <v>#N/A</v>
      </c>
      <c r="AC19" s="177" t="e">
        <f>VLOOKUP(A19,saisie!B$7:AL$26,29,0)</f>
        <v>#N/A</v>
      </c>
      <c r="AD19" s="177" t="e">
        <f>VLOOKUP(A19,saisie!B$7:AL$26,30,0)</f>
        <v>#N/A</v>
      </c>
      <c r="AE19" s="177" t="e">
        <f>VLOOKUP(A19,saisie!B$7:AL$26,31,0)</f>
        <v>#N/A</v>
      </c>
      <c r="AF19" s="178" t="e">
        <f>VLOOKUP(A19,saisie!B$7:AL$26,32,0)</f>
        <v>#N/A</v>
      </c>
      <c r="AG19" s="179" t="e">
        <f>VLOOKUP(A19,saisie!B$7:AL$26,33,0)</f>
        <v>#N/A</v>
      </c>
      <c r="AH19" s="173" t="e">
        <f>VLOOKUP(A19,saisie!B$7:AL$26,34,0)</f>
        <v>#N/A</v>
      </c>
      <c r="AI19" s="180" t="e">
        <f>VLOOKUP(A19,saisie!B$7:AL$26,35,0)</f>
        <v>#N/A</v>
      </c>
      <c r="AJ19" s="181"/>
    </row>
    <row r="20" spans="1:36" s="182" customFormat="1" ht="153" customHeight="1">
      <c r="A20" s="173" t="str">
        <f>IF(INFO!B8&gt;13,14,"")</f>
        <v/>
      </c>
      <c r="B20" s="174" t="e">
        <f>VLOOKUP(A20,saisie!B$7:AL$26,2,0)</f>
        <v>#N/A</v>
      </c>
      <c r="C20" s="175" t="e">
        <f>VLOOKUP(A20,saisie!B$7:AL$26,3,0)</f>
        <v>#N/A</v>
      </c>
      <c r="D20" s="176" t="e">
        <f>VLOOKUP(A20,saisie!B$7:AL$26,4,0)</f>
        <v>#N/A</v>
      </c>
      <c r="E20" s="177" t="e">
        <f>VLOOKUP(A20,saisie!B$7:AL$26,5,0)</f>
        <v>#N/A</v>
      </c>
      <c r="F20" s="177" t="e">
        <f>VLOOKUP(A20,saisie!B$7:AL$26,6,0)</f>
        <v>#N/A</v>
      </c>
      <c r="G20" s="177" t="e">
        <f>VLOOKUP(A20,saisie!B$7:AL$26,7,0)</f>
        <v>#N/A</v>
      </c>
      <c r="H20" s="178" t="e">
        <f>VLOOKUP(A20,saisie!B$7:AL$26,8,0)</f>
        <v>#N/A</v>
      </c>
      <c r="I20" s="179" t="e">
        <f>VLOOKUP(A20,saisie!B$7:AL$26,9,0)</f>
        <v>#N/A</v>
      </c>
      <c r="J20" s="176" t="e">
        <f>VLOOKUP(A20,saisie!B$7:AL$26,10,0)</f>
        <v>#N/A</v>
      </c>
      <c r="K20" s="177" t="e">
        <f>VLOOKUP(A20,saisie!B$7:AL$26,11,0)</f>
        <v>#N/A</v>
      </c>
      <c r="L20" s="177" t="e">
        <f>VLOOKUP(A20,saisie!B$7:AL$26,12,0)</f>
        <v>#N/A</v>
      </c>
      <c r="M20" s="177" t="e">
        <f>VLOOKUP(A20,saisie!B$7:AL$26,13,0)</f>
        <v>#N/A</v>
      </c>
      <c r="N20" s="178" t="e">
        <f>VLOOKUP(A20,saisie!B$7:AL$26,14,0)</f>
        <v>#N/A</v>
      </c>
      <c r="O20" s="179" t="e">
        <f>VLOOKUP(A20,saisie!B$7:AL$26,15,0)</f>
        <v>#N/A</v>
      </c>
      <c r="P20" s="176" t="e">
        <f>VLOOKUP(A20,saisie!B$7:AL$26,16,0)</f>
        <v>#N/A</v>
      </c>
      <c r="Q20" s="177" t="e">
        <f>VLOOKUP(A20,saisie!B$7:AL$26,17,0)</f>
        <v>#N/A</v>
      </c>
      <c r="R20" s="177" t="e">
        <f>VLOOKUP(A20,saisie!B$7:AL$26,18,0)</f>
        <v>#N/A</v>
      </c>
      <c r="S20" s="177" t="e">
        <f>VLOOKUP(A20,saisie!B$7:AL$26,19,0)</f>
        <v>#N/A</v>
      </c>
      <c r="T20" s="178" t="e">
        <f>VLOOKUP(A20,saisie!B$7:AL$26,20,0)</f>
        <v>#N/A</v>
      </c>
      <c r="U20" s="179" t="e">
        <f>VLOOKUP(A20,saisie!B$7:AL$26,21,0)</f>
        <v>#N/A</v>
      </c>
      <c r="V20" s="176" t="e">
        <f>VLOOKUP(A20,saisie!B$7:AL$26,22,0)</f>
        <v>#N/A</v>
      </c>
      <c r="W20" s="177" t="e">
        <f>VLOOKUP(A20,saisie!B$7:AL$26,23,0)</f>
        <v>#N/A</v>
      </c>
      <c r="X20" s="177" t="e">
        <f>VLOOKUP(A20,saisie!B$7:AL$26,24,0)</f>
        <v>#N/A</v>
      </c>
      <c r="Y20" s="177" t="e">
        <f>VLOOKUP(A20,saisie!B$7:AL$26,25,0)</f>
        <v>#N/A</v>
      </c>
      <c r="Z20" s="178" t="e">
        <f>VLOOKUP(A20,saisie!B$7:AL$26,26,0)</f>
        <v>#N/A</v>
      </c>
      <c r="AA20" s="179" t="e">
        <f>VLOOKUP(A20,saisie!B$7:AL$26,27,0)</f>
        <v>#N/A</v>
      </c>
      <c r="AB20" s="176" t="e">
        <f>VLOOKUP(A20,saisie!B$7:AL$26,28,0)</f>
        <v>#N/A</v>
      </c>
      <c r="AC20" s="177" t="e">
        <f>VLOOKUP(A20,saisie!B$7:AL$26,29,0)</f>
        <v>#N/A</v>
      </c>
      <c r="AD20" s="177" t="e">
        <f>VLOOKUP(A20,saisie!B$7:AL$26,30,0)</f>
        <v>#N/A</v>
      </c>
      <c r="AE20" s="177" t="e">
        <f>VLOOKUP(A20,saisie!B$7:AL$26,31,0)</f>
        <v>#N/A</v>
      </c>
      <c r="AF20" s="178" t="e">
        <f>VLOOKUP(A20,saisie!B$7:AL$26,32,0)</f>
        <v>#N/A</v>
      </c>
      <c r="AG20" s="179" t="e">
        <f>VLOOKUP(A20,saisie!B$7:AL$26,33,0)</f>
        <v>#N/A</v>
      </c>
      <c r="AH20" s="173" t="e">
        <f>VLOOKUP(A20,saisie!B$7:AL$26,34,0)</f>
        <v>#N/A</v>
      </c>
      <c r="AI20" s="180" t="e">
        <f>VLOOKUP(A20,saisie!B$7:AL$26,35,0)</f>
        <v>#N/A</v>
      </c>
      <c r="AJ20" s="181"/>
    </row>
    <row r="21" spans="1:36" s="182" customFormat="1" ht="153" customHeight="1">
      <c r="A21" s="173" t="str">
        <f>IF(INFO!B8&gt;14,15,"")</f>
        <v/>
      </c>
      <c r="B21" s="174" t="e">
        <f>VLOOKUP(A21,saisie!B$7:AL$26,2,0)</f>
        <v>#N/A</v>
      </c>
      <c r="C21" s="175" t="e">
        <f>VLOOKUP(A21,saisie!B$7:AL$26,3,0)</f>
        <v>#N/A</v>
      </c>
      <c r="D21" s="176" t="e">
        <f>VLOOKUP(A21,saisie!B$7:AL$26,4,0)</f>
        <v>#N/A</v>
      </c>
      <c r="E21" s="177" t="e">
        <f>VLOOKUP(A21,saisie!B$7:AL$26,5,0)</f>
        <v>#N/A</v>
      </c>
      <c r="F21" s="177" t="e">
        <f>VLOOKUP(A21,saisie!B$7:AL$26,6,0)</f>
        <v>#N/A</v>
      </c>
      <c r="G21" s="177" t="e">
        <f>VLOOKUP(A21,saisie!B$7:AL$26,7,0)</f>
        <v>#N/A</v>
      </c>
      <c r="H21" s="178" t="e">
        <f>VLOOKUP(A21,saisie!B$7:AL$26,8,0)</f>
        <v>#N/A</v>
      </c>
      <c r="I21" s="179" t="e">
        <f>VLOOKUP(A21,saisie!B$7:AL$26,9,0)</f>
        <v>#N/A</v>
      </c>
      <c r="J21" s="176" t="e">
        <f>VLOOKUP(A21,saisie!B$7:AL$26,10,0)</f>
        <v>#N/A</v>
      </c>
      <c r="K21" s="177" t="e">
        <f>VLOOKUP(A21,saisie!B$7:AL$26,11,0)</f>
        <v>#N/A</v>
      </c>
      <c r="L21" s="177" t="e">
        <f>VLOOKUP(A21,saisie!B$7:AL$26,12,0)</f>
        <v>#N/A</v>
      </c>
      <c r="M21" s="177" t="e">
        <f>VLOOKUP(A21,saisie!B$7:AL$26,13,0)</f>
        <v>#N/A</v>
      </c>
      <c r="N21" s="178" t="e">
        <f>VLOOKUP(A21,saisie!B$7:AL$26,14,0)</f>
        <v>#N/A</v>
      </c>
      <c r="O21" s="179" t="e">
        <f>VLOOKUP(A21,saisie!B$7:AL$26,15,0)</f>
        <v>#N/A</v>
      </c>
      <c r="P21" s="176" t="e">
        <f>VLOOKUP(A21,saisie!B$7:AL$26,16,0)</f>
        <v>#N/A</v>
      </c>
      <c r="Q21" s="177" t="e">
        <f>VLOOKUP(A21,saisie!B$7:AL$26,17,0)</f>
        <v>#N/A</v>
      </c>
      <c r="R21" s="177" t="e">
        <f>VLOOKUP(A21,saisie!B$7:AL$26,18,0)</f>
        <v>#N/A</v>
      </c>
      <c r="S21" s="177" t="e">
        <f>VLOOKUP(A21,saisie!B$7:AL$26,19,0)</f>
        <v>#N/A</v>
      </c>
      <c r="T21" s="178" t="e">
        <f>VLOOKUP(A21,saisie!B$7:AL$26,20,0)</f>
        <v>#N/A</v>
      </c>
      <c r="U21" s="179" t="e">
        <f>VLOOKUP(A21,saisie!B$7:AL$26,21,0)</f>
        <v>#N/A</v>
      </c>
      <c r="V21" s="176" t="e">
        <f>VLOOKUP(A21,saisie!B$7:AL$26,22,0)</f>
        <v>#N/A</v>
      </c>
      <c r="W21" s="177" t="e">
        <f>VLOOKUP(A21,saisie!B$7:AL$26,23,0)</f>
        <v>#N/A</v>
      </c>
      <c r="X21" s="177" t="e">
        <f>VLOOKUP(A21,saisie!B$7:AL$26,24,0)</f>
        <v>#N/A</v>
      </c>
      <c r="Y21" s="177" t="e">
        <f>VLOOKUP(A21,saisie!B$7:AL$26,25,0)</f>
        <v>#N/A</v>
      </c>
      <c r="Z21" s="178" t="e">
        <f>VLOOKUP(A21,saisie!B$7:AL$26,26,0)</f>
        <v>#N/A</v>
      </c>
      <c r="AA21" s="179" t="e">
        <f>VLOOKUP(A21,saisie!B$7:AL$26,27,0)</f>
        <v>#N/A</v>
      </c>
      <c r="AB21" s="176" t="e">
        <f>VLOOKUP(A21,saisie!B$7:AL$26,28,0)</f>
        <v>#N/A</v>
      </c>
      <c r="AC21" s="177" t="e">
        <f>VLOOKUP(A21,saisie!B$7:AL$26,29,0)</f>
        <v>#N/A</v>
      </c>
      <c r="AD21" s="177" t="e">
        <f>VLOOKUP(A21,saisie!B$7:AL$26,30,0)</f>
        <v>#N/A</v>
      </c>
      <c r="AE21" s="177" t="e">
        <f>VLOOKUP(A21,saisie!B$7:AL$26,31,0)</f>
        <v>#N/A</v>
      </c>
      <c r="AF21" s="178" t="e">
        <f>VLOOKUP(A21,saisie!B$7:AL$26,32,0)</f>
        <v>#N/A</v>
      </c>
      <c r="AG21" s="179" t="e">
        <f>VLOOKUP(A21,saisie!B$7:AL$26,33,0)</f>
        <v>#N/A</v>
      </c>
      <c r="AH21" s="173" t="e">
        <f>VLOOKUP(A21,saisie!B$7:AL$26,34,0)</f>
        <v>#N/A</v>
      </c>
      <c r="AI21" s="180" t="e">
        <f>VLOOKUP(A21,saisie!B$7:AL$26,35,0)</f>
        <v>#N/A</v>
      </c>
      <c r="AJ21" s="181"/>
    </row>
    <row r="22" spans="1:36" s="182" customFormat="1" ht="153" customHeight="1">
      <c r="A22" s="173" t="str">
        <f>IF(INFO!B8&gt;15,16,"")</f>
        <v/>
      </c>
      <c r="B22" s="174" t="e">
        <f>VLOOKUP(A22,saisie!B$7:AL$26,2,0)</f>
        <v>#N/A</v>
      </c>
      <c r="C22" s="175" t="e">
        <f>VLOOKUP(A22,saisie!B$7:AL$26,3,0)</f>
        <v>#N/A</v>
      </c>
      <c r="D22" s="176" t="e">
        <f>VLOOKUP(A22,saisie!B$7:AL$26,4,0)</f>
        <v>#N/A</v>
      </c>
      <c r="E22" s="177" t="e">
        <f>VLOOKUP(A22,saisie!B$7:AL$26,5,0)</f>
        <v>#N/A</v>
      </c>
      <c r="F22" s="177" t="e">
        <f>VLOOKUP(A22,saisie!B$7:AL$26,6,0)</f>
        <v>#N/A</v>
      </c>
      <c r="G22" s="177" t="e">
        <f>VLOOKUP(A22,saisie!B$7:AL$26,7,0)</f>
        <v>#N/A</v>
      </c>
      <c r="H22" s="178" t="e">
        <f>VLOOKUP(A22,saisie!B$7:AL$26,8,0)</f>
        <v>#N/A</v>
      </c>
      <c r="I22" s="179" t="e">
        <f>VLOOKUP(A22,saisie!B$7:AL$26,9,0)</f>
        <v>#N/A</v>
      </c>
      <c r="J22" s="176" t="e">
        <f>VLOOKUP(A22,saisie!B$7:AL$26,10,0)</f>
        <v>#N/A</v>
      </c>
      <c r="K22" s="177" t="e">
        <f>VLOOKUP(A22,saisie!B$7:AL$26,11,0)</f>
        <v>#N/A</v>
      </c>
      <c r="L22" s="177" t="e">
        <f>VLOOKUP(A22,saisie!B$7:AL$26,12,0)</f>
        <v>#N/A</v>
      </c>
      <c r="M22" s="177" t="e">
        <f>VLOOKUP(A22,saisie!B$7:AL$26,13,0)</f>
        <v>#N/A</v>
      </c>
      <c r="N22" s="178" t="e">
        <f>VLOOKUP(A22,saisie!B$7:AL$26,14,0)</f>
        <v>#N/A</v>
      </c>
      <c r="O22" s="179" t="e">
        <f>VLOOKUP(A22,saisie!B$7:AL$26,15,0)</f>
        <v>#N/A</v>
      </c>
      <c r="P22" s="176" t="e">
        <f>VLOOKUP(A22,saisie!B$7:AL$26,16,0)</f>
        <v>#N/A</v>
      </c>
      <c r="Q22" s="177" t="e">
        <f>VLOOKUP(A22,saisie!B$7:AL$26,17,0)</f>
        <v>#N/A</v>
      </c>
      <c r="R22" s="177" t="e">
        <f>VLOOKUP(A22,saisie!B$7:AL$26,18,0)</f>
        <v>#N/A</v>
      </c>
      <c r="S22" s="177" t="e">
        <f>VLOOKUP(A22,saisie!B$7:AL$26,19,0)</f>
        <v>#N/A</v>
      </c>
      <c r="T22" s="178" t="e">
        <f>VLOOKUP(A22,saisie!B$7:AL$26,20,0)</f>
        <v>#N/A</v>
      </c>
      <c r="U22" s="179" t="e">
        <f>VLOOKUP(A22,saisie!B$7:AL$26,21,0)</f>
        <v>#N/A</v>
      </c>
      <c r="V22" s="176" t="e">
        <f>VLOOKUP(A22,saisie!B$7:AL$26,22,0)</f>
        <v>#N/A</v>
      </c>
      <c r="W22" s="177" t="e">
        <f>VLOOKUP(A22,saisie!B$7:AL$26,23,0)</f>
        <v>#N/A</v>
      </c>
      <c r="X22" s="177" t="e">
        <f>VLOOKUP(A22,saisie!B$7:AL$26,24,0)</f>
        <v>#N/A</v>
      </c>
      <c r="Y22" s="177" t="e">
        <f>VLOOKUP(A22,saisie!B$7:AL$26,25,0)</f>
        <v>#N/A</v>
      </c>
      <c r="Z22" s="178" t="e">
        <f>VLOOKUP(A22,saisie!B$7:AL$26,26,0)</f>
        <v>#N/A</v>
      </c>
      <c r="AA22" s="179" t="e">
        <f>VLOOKUP(A22,saisie!B$7:AL$26,27,0)</f>
        <v>#N/A</v>
      </c>
      <c r="AB22" s="176" t="e">
        <f>VLOOKUP(A22,saisie!B$7:AL$26,28,0)</f>
        <v>#N/A</v>
      </c>
      <c r="AC22" s="177" t="e">
        <f>VLOOKUP(A22,saisie!B$7:AL$26,29,0)</f>
        <v>#N/A</v>
      </c>
      <c r="AD22" s="177" t="e">
        <f>VLOOKUP(A22,saisie!B$7:AL$26,30,0)</f>
        <v>#N/A</v>
      </c>
      <c r="AE22" s="177" t="e">
        <f>VLOOKUP(A22,saisie!B$7:AL$26,31,0)</f>
        <v>#N/A</v>
      </c>
      <c r="AF22" s="178" t="e">
        <f>VLOOKUP(A22,saisie!B$7:AL$26,32,0)</f>
        <v>#N/A</v>
      </c>
      <c r="AG22" s="179" t="e">
        <f>VLOOKUP(A22,saisie!B$7:AL$26,33,0)</f>
        <v>#N/A</v>
      </c>
      <c r="AH22" s="173" t="e">
        <f>VLOOKUP(A22,saisie!B$7:AL$26,34,0)</f>
        <v>#N/A</v>
      </c>
      <c r="AI22" s="180" t="e">
        <f>VLOOKUP(A22,saisie!B$7:AL$26,35,0)</f>
        <v>#N/A</v>
      </c>
      <c r="AJ22" s="181"/>
    </row>
    <row r="23" spans="1:36" s="182" customFormat="1" ht="153" customHeight="1">
      <c r="A23" s="173" t="str">
        <f>IF(INFO!B8&gt;16,17,"")</f>
        <v/>
      </c>
      <c r="B23" s="174" t="e">
        <f>VLOOKUP(A23,saisie!B$7:AL$26,2,0)</f>
        <v>#N/A</v>
      </c>
      <c r="C23" s="175" t="e">
        <f>VLOOKUP(A23,saisie!B$7:AL$26,3,0)</f>
        <v>#N/A</v>
      </c>
      <c r="D23" s="176" t="e">
        <f>VLOOKUP(A23,saisie!B$7:AL$26,4,0)</f>
        <v>#N/A</v>
      </c>
      <c r="E23" s="177" t="e">
        <f>VLOOKUP(A23,saisie!B$7:AL$26,5,0)</f>
        <v>#N/A</v>
      </c>
      <c r="F23" s="177" t="e">
        <f>VLOOKUP(A23,saisie!B$7:AL$26,6,0)</f>
        <v>#N/A</v>
      </c>
      <c r="G23" s="177" t="e">
        <f>VLOOKUP(A23,saisie!B$7:AL$26,7,0)</f>
        <v>#N/A</v>
      </c>
      <c r="H23" s="178" t="e">
        <f>VLOOKUP(A23,saisie!B$7:AL$26,8,0)</f>
        <v>#N/A</v>
      </c>
      <c r="I23" s="179" t="e">
        <f>VLOOKUP(A23,saisie!B$7:AL$26,9,0)</f>
        <v>#N/A</v>
      </c>
      <c r="J23" s="176" t="e">
        <f>VLOOKUP(A23,saisie!B$7:AL$26,10,0)</f>
        <v>#N/A</v>
      </c>
      <c r="K23" s="177" t="e">
        <f>VLOOKUP(A23,saisie!B$7:AL$26,11,0)</f>
        <v>#N/A</v>
      </c>
      <c r="L23" s="177" t="e">
        <f>VLOOKUP(A23,saisie!B$7:AL$26,12,0)</f>
        <v>#N/A</v>
      </c>
      <c r="M23" s="177" t="e">
        <f>VLOOKUP(A23,saisie!B$7:AL$26,13,0)</f>
        <v>#N/A</v>
      </c>
      <c r="N23" s="178" t="e">
        <f>VLOOKUP(A23,saisie!B$7:AL$26,14,0)</f>
        <v>#N/A</v>
      </c>
      <c r="O23" s="179" t="e">
        <f>VLOOKUP(A23,saisie!B$7:AL$26,15,0)</f>
        <v>#N/A</v>
      </c>
      <c r="P23" s="176" t="e">
        <f>VLOOKUP(A23,saisie!B$7:AL$26,16,0)</f>
        <v>#N/A</v>
      </c>
      <c r="Q23" s="177" t="e">
        <f>VLOOKUP(A23,saisie!B$7:AL$26,17,0)</f>
        <v>#N/A</v>
      </c>
      <c r="R23" s="177" t="e">
        <f>VLOOKUP(A23,saisie!B$7:AL$26,18,0)</f>
        <v>#N/A</v>
      </c>
      <c r="S23" s="177" t="e">
        <f>VLOOKUP(A23,saisie!B$7:AL$26,19,0)</f>
        <v>#N/A</v>
      </c>
      <c r="T23" s="178" t="e">
        <f>VLOOKUP(A23,saisie!B$7:AL$26,20,0)</f>
        <v>#N/A</v>
      </c>
      <c r="U23" s="179" t="e">
        <f>VLOOKUP(A23,saisie!B$7:AL$26,21,0)</f>
        <v>#N/A</v>
      </c>
      <c r="V23" s="176" t="e">
        <f>VLOOKUP(A23,saisie!B$7:AL$26,22,0)</f>
        <v>#N/A</v>
      </c>
      <c r="W23" s="177" t="e">
        <f>VLOOKUP(A23,saisie!B$7:AL$26,23,0)</f>
        <v>#N/A</v>
      </c>
      <c r="X23" s="177" t="e">
        <f>VLOOKUP(A23,saisie!B$7:AL$26,24,0)</f>
        <v>#N/A</v>
      </c>
      <c r="Y23" s="177" t="e">
        <f>VLOOKUP(A23,saisie!B$7:AL$26,25,0)</f>
        <v>#N/A</v>
      </c>
      <c r="Z23" s="178" t="e">
        <f>VLOOKUP(A23,saisie!B$7:AL$26,26,0)</f>
        <v>#N/A</v>
      </c>
      <c r="AA23" s="179" t="e">
        <f>VLOOKUP(A23,saisie!B$7:AL$26,27,0)</f>
        <v>#N/A</v>
      </c>
      <c r="AB23" s="176" t="e">
        <f>VLOOKUP(A23,saisie!B$7:AL$26,28,0)</f>
        <v>#N/A</v>
      </c>
      <c r="AC23" s="177" t="e">
        <f>VLOOKUP(A23,saisie!B$7:AL$26,29,0)</f>
        <v>#N/A</v>
      </c>
      <c r="AD23" s="177" t="e">
        <f>VLOOKUP(A23,saisie!B$7:AL$26,30,0)</f>
        <v>#N/A</v>
      </c>
      <c r="AE23" s="177" t="e">
        <f>VLOOKUP(A23,saisie!B$7:AL$26,31,0)</f>
        <v>#N/A</v>
      </c>
      <c r="AF23" s="178" t="e">
        <f>VLOOKUP(A23,saisie!B$7:AL$26,32,0)</f>
        <v>#N/A</v>
      </c>
      <c r="AG23" s="179" t="e">
        <f>VLOOKUP(A23,saisie!B$7:AL$26,33,0)</f>
        <v>#N/A</v>
      </c>
      <c r="AH23" s="173" t="e">
        <f>VLOOKUP(A23,saisie!B$7:AL$26,34,0)</f>
        <v>#N/A</v>
      </c>
      <c r="AI23" s="180" t="e">
        <f>VLOOKUP(A23,saisie!B$7:AL$26,35,0)</f>
        <v>#N/A</v>
      </c>
      <c r="AJ23" s="181"/>
    </row>
    <row r="24" spans="1:36" s="182" customFormat="1" ht="153" customHeight="1">
      <c r="A24" s="173" t="str">
        <f>IF(INFO!B8&gt;17,18,"")</f>
        <v/>
      </c>
      <c r="B24" s="174" t="e">
        <f>VLOOKUP(A24,saisie!B$7:AL$26,2,0)</f>
        <v>#N/A</v>
      </c>
      <c r="C24" s="175" t="e">
        <f>VLOOKUP(A24,saisie!B$7:AL$26,3,0)</f>
        <v>#N/A</v>
      </c>
      <c r="D24" s="176" t="e">
        <f>VLOOKUP(A24,saisie!B$7:AL$26,4,0)</f>
        <v>#N/A</v>
      </c>
      <c r="E24" s="177" t="e">
        <f>VLOOKUP(A24,saisie!B$7:AL$26,5,0)</f>
        <v>#N/A</v>
      </c>
      <c r="F24" s="177" t="e">
        <f>VLOOKUP(A24,saisie!B$7:AL$26,6,0)</f>
        <v>#N/A</v>
      </c>
      <c r="G24" s="177" t="e">
        <f>VLOOKUP(A24,saisie!B$7:AL$26,7,0)</f>
        <v>#N/A</v>
      </c>
      <c r="H24" s="178" t="e">
        <f>VLOOKUP(A24,saisie!B$7:AL$26,8,0)</f>
        <v>#N/A</v>
      </c>
      <c r="I24" s="179" t="e">
        <f>VLOOKUP(A24,saisie!B$7:AL$26,9,0)</f>
        <v>#N/A</v>
      </c>
      <c r="J24" s="176" t="e">
        <f>VLOOKUP(A24,saisie!B$7:AL$26,10,0)</f>
        <v>#N/A</v>
      </c>
      <c r="K24" s="177" t="e">
        <f>VLOOKUP(A24,saisie!B$7:AL$26,11,0)</f>
        <v>#N/A</v>
      </c>
      <c r="L24" s="177" t="e">
        <f>VLOOKUP(A24,saisie!B$7:AL$26,12,0)</f>
        <v>#N/A</v>
      </c>
      <c r="M24" s="177" t="e">
        <f>VLOOKUP(A24,saisie!B$7:AL$26,13,0)</f>
        <v>#N/A</v>
      </c>
      <c r="N24" s="178" t="e">
        <f>VLOOKUP(A24,saisie!B$7:AL$26,14,0)</f>
        <v>#N/A</v>
      </c>
      <c r="O24" s="179" t="e">
        <f>VLOOKUP(A24,saisie!B$7:AL$26,15,0)</f>
        <v>#N/A</v>
      </c>
      <c r="P24" s="176" t="e">
        <f>VLOOKUP(A24,saisie!B$7:AL$26,16,0)</f>
        <v>#N/A</v>
      </c>
      <c r="Q24" s="177" t="e">
        <f>VLOOKUP(A24,saisie!B$7:AL$26,17,0)</f>
        <v>#N/A</v>
      </c>
      <c r="R24" s="177" t="e">
        <f>VLOOKUP(A24,saisie!B$7:AL$26,18,0)</f>
        <v>#N/A</v>
      </c>
      <c r="S24" s="177" t="e">
        <f>VLOOKUP(A24,saisie!B$7:AL$26,19,0)</f>
        <v>#N/A</v>
      </c>
      <c r="T24" s="178" t="e">
        <f>VLOOKUP(A24,saisie!B$7:AL$26,20,0)</f>
        <v>#N/A</v>
      </c>
      <c r="U24" s="179" t="e">
        <f>VLOOKUP(A24,saisie!B$7:AL$26,21,0)</f>
        <v>#N/A</v>
      </c>
      <c r="V24" s="176" t="e">
        <f>VLOOKUP(A24,saisie!B$7:AL$26,22,0)</f>
        <v>#N/A</v>
      </c>
      <c r="W24" s="177" t="e">
        <f>VLOOKUP(A24,saisie!B$7:AL$26,23,0)</f>
        <v>#N/A</v>
      </c>
      <c r="X24" s="177" t="e">
        <f>VLOOKUP(A24,saisie!B$7:AL$26,24,0)</f>
        <v>#N/A</v>
      </c>
      <c r="Y24" s="177" t="e">
        <f>VLOOKUP(A24,saisie!B$7:AL$26,25,0)</f>
        <v>#N/A</v>
      </c>
      <c r="Z24" s="178" t="e">
        <f>VLOOKUP(A24,saisie!B$7:AL$26,26,0)</f>
        <v>#N/A</v>
      </c>
      <c r="AA24" s="179" t="e">
        <f>VLOOKUP(A24,saisie!B$7:AL$26,27,0)</f>
        <v>#N/A</v>
      </c>
      <c r="AB24" s="176" t="e">
        <f>VLOOKUP(A24,saisie!B$7:AL$26,28,0)</f>
        <v>#N/A</v>
      </c>
      <c r="AC24" s="177" t="e">
        <f>VLOOKUP(A24,saisie!B$7:AL$26,29,0)</f>
        <v>#N/A</v>
      </c>
      <c r="AD24" s="177" t="e">
        <f>VLOOKUP(A24,saisie!B$7:AL$26,30,0)</f>
        <v>#N/A</v>
      </c>
      <c r="AE24" s="177" t="e">
        <f>VLOOKUP(A24,saisie!B$7:AL$26,31,0)</f>
        <v>#N/A</v>
      </c>
      <c r="AF24" s="178" t="e">
        <f>VLOOKUP(A24,saisie!B$7:AL$26,32,0)</f>
        <v>#N/A</v>
      </c>
      <c r="AG24" s="179" t="e">
        <f>VLOOKUP(A24,saisie!B$7:AL$26,33,0)</f>
        <v>#N/A</v>
      </c>
      <c r="AH24" s="173" t="e">
        <f>VLOOKUP(A24,saisie!B$7:AL$26,34,0)</f>
        <v>#N/A</v>
      </c>
      <c r="AI24" s="180" t="e">
        <f>VLOOKUP(A24,saisie!B$7:AL$26,35,0)</f>
        <v>#N/A</v>
      </c>
      <c r="AJ24" s="181"/>
    </row>
    <row r="25" spans="1:36" s="182" customFormat="1" ht="153" customHeight="1">
      <c r="A25" s="173" t="str">
        <f>IF(INFO!B8&gt;18,19,"")</f>
        <v/>
      </c>
      <c r="B25" s="174" t="e">
        <f>VLOOKUP(A25,saisie!B$7:AL$26,2,0)</f>
        <v>#N/A</v>
      </c>
      <c r="C25" s="175" t="e">
        <f>VLOOKUP(A25,saisie!B$7:AL$26,3,0)</f>
        <v>#N/A</v>
      </c>
      <c r="D25" s="176" t="e">
        <f>VLOOKUP(A25,saisie!B$7:AL$26,4,0)</f>
        <v>#N/A</v>
      </c>
      <c r="E25" s="177" t="e">
        <f>VLOOKUP(A25,saisie!B$7:AL$26,5,0)</f>
        <v>#N/A</v>
      </c>
      <c r="F25" s="177" t="e">
        <f>VLOOKUP(A25,saisie!B$7:AL$26,6,0)</f>
        <v>#N/A</v>
      </c>
      <c r="G25" s="177" t="e">
        <f>VLOOKUP(A25,saisie!B$7:AL$26,7,0)</f>
        <v>#N/A</v>
      </c>
      <c r="H25" s="178" t="e">
        <f>VLOOKUP(A25,saisie!B$7:AL$26,8,0)</f>
        <v>#N/A</v>
      </c>
      <c r="I25" s="179" t="e">
        <f>VLOOKUP(A25,saisie!B$7:AL$26,9,0)</f>
        <v>#N/A</v>
      </c>
      <c r="J25" s="176" t="e">
        <f>VLOOKUP(A25,saisie!B$7:AL$26,10,0)</f>
        <v>#N/A</v>
      </c>
      <c r="K25" s="177" t="e">
        <f>VLOOKUP(A25,saisie!B$7:AL$26,11,0)</f>
        <v>#N/A</v>
      </c>
      <c r="L25" s="177" t="e">
        <f>VLOOKUP(A25,saisie!B$7:AL$26,12,0)</f>
        <v>#N/A</v>
      </c>
      <c r="M25" s="177" t="e">
        <f>VLOOKUP(A25,saisie!B$7:AL$26,13,0)</f>
        <v>#N/A</v>
      </c>
      <c r="N25" s="178" t="e">
        <f>VLOOKUP(A25,saisie!B$7:AL$26,14,0)</f>
        <v>#N/A</v>
      </c>
      <c r="O25" s="179" t="e">
        <f>VLOOKUP(A25,saisie!B$7:AL$26,15,0)</f>
        <v>#N/A</v>
      </c>
      <c r="P25" s="176" t="e">
        <f>VLOOKUP(A25,saisie!B$7:AL$26,16,0)</f>
        <v>#N/A</v>
      </c>
      <c r="Q25" s="177" t="e">
        <f>VLOOKUP(A25,saisie!B$7:AL$26,17,0)</f>
        <v>#N/A</v>
      </c>
      <c r="R25" s="177" t="e">
        <f>VLOOKUP(A25,saisie!B$7:AL$26,18,0)</f>
        <v>#N/A</v>
      </c>
      <c r="S25" s="177" t="e">
        <f>VLOOKUP(A25,saisie!B$7:AL$26,19,0)</f>
        <v>#N/A</v>
      </c>
      <c r="T25" s="178" t="e">
        <f>VLOOKUP(A25,saisie!B$7:AL$26,20,0)</f>
        <v>#N/A</v>
      </c>
      <c r="U25" s="179" t="e">
        <f>VLOOKUP(A25,saisie!B$7:AL$26,21,0)</f>
        <v>#N/A</v>
      </c>
      <c r="V25" s="176" t="e">
        <f>VLOOKUP(A25,saisie!B$7:AL$26,22,0)</f>
        <v>#N/A</v>
      </c>
      <c r="W25" s="177" t="e">
        <f>VLOOKUP(A25,saisie!B$7:AL$26,23,0)</f>
        <v>#N/A</v>
      </c>
      <c r="X25" s="177" t="e">
        <f>VLOOKUP(A25,saisie!B$7:AL$26,24,0)</f>
        <v>#N/A</v>
      </c>
      <c r="Y25" s="177" t="e">
        <f>VLOOKUP(A25,saisie!B$7:AL$26,25,0)</f>
        <v>#N/A</v>
      </c>
      <c r="Z25" s="178" t="e">
        <f>VLOOKUP(A25,saisie!B$7:AL$26,26,0)</f>
        <v>#N/A</v>
      </c>
      <c r="AA25" s="179" t="e">
        <f>VLOOKUP(A25,saisie!B$7:AL$26,27,0)</f>
        <v>#N/A</v>
      </c>
      <c r="AB25" s="176" t="e">
        <f>VLOOKUP(A25,saisie!B$7:AL$26,28,0)</f>
        <v>#N/A</v>
      </c>
      <c r="AC25" s="177" t="e">
        <f>VLOOKUP(A25,saisie!B$7:AL$26,29,0)</f>
        <v>#N/A</v>
      </c>
      <c r="AD25" s="177" t="e">
        <f>VLOOKUP(A25,saisie!B$7:AL$26,30,0)</f>
        <v>#N/A</v>
      </c>
      <c r="AE25" s="177" t="e">
        <f>VLOOKUP(A25,saisie!B$7:AL$26,31,0)</f>
        <v>#N/A</v>
      </c>
      <c r="AF25" s="178" t="e">
        <f>VLOOKUP(A25,saisie!B$7:AL$26,32,0)</f>
        <v>#N/A</v>
      </c>
      <c r="AG25" s="179" t="e">
        <f>VLOOKUP(A25,saisie!B$7:AL$26,33,0)</f>
        <v>#N/A</v>
      </c>
      <c r="AH25" s="173" t="e">
        <f>VLOOKUP(A25,saisie!B$7:AL$26,34,0)</f>
        <v>#N/A</v>
      </c>
      <c r="AI25" s="180" t="e">
        <f>VLOOKUP(A25,saisie!B$7:AL$26,35,0)</f>
        <v>#N/A</v>
      </c>
      <c r="AJ25" s="181"/>
    </row>
    <row r="26" spans="1:36" s="182" customFormat="1" ht="153" customHeight="1">
      <c r="A26" s="173" t="str">
        <f>IF(INFO!B8&gt;19,20,"")</f>
        <v/>
      </c>
      <c r="B26" s="174" t="e">
        <f>VLOOKUP(A26,saisie!B$7:AL$26,2,0)</f>
        <v>#N/A</v>
      </c>
      <c r="C26" s="175" t="e">
        <f>VLOOKUP(A26,saisie!B$7:AL$26,3,0)</f>
        <v>#N/A</v>
      </c>
      <c r="D26" s="176" t="e">
        <f>VLOOKUP(A26,saisie!B$7:AL$26,4,0)</f>
        <v>#N/A</v>
      </c>
      <c r="E26" s="177" t="e">
        <f>VLOOKUP(A26,saisie!B$7:AL$26,5,0)</f>
        <v>#N/A</v>
      </c>
      <c r="F26" s="177" t="e">
        <f>VLOOKUP(A26,saisie!B$7:AL$26,6,0)</f>
        <v>#N/A</v>
      </c>
      <c r="G26" s="177" t="e">
        <f>VLOOKUP(A26,saisie!B$7:AL$26,7,0)</f>
        <v>#N/A</v>
      </c>
      <c r="H26" s="178" t="e">
        <f>VLOOKUP(A26,saisie!B$7:AL$26,8,0)</f>
        <v>#N/A</v>
      </c>
      <c r="I26" s="179" t="e">
        <f>VLOOKUP(A26,saisie!B$7:AL$26,9,0)</f>
        <v>#N/A</v>
      </c>
      <c r="J26" s="176" t="e">
        <f>VLOOKUP(A26,saisie!B$7:AL$26,10,0)</f>
        <v>#N/A</v>
      </c>
      <c r="K26" s="177" t="e">
        <f>VLOOKUP(A26,saisie!B$7:AL$26,11,0)</f>
        <v>#N/A</v>
      </c>
      <c r="L26" s="177" t="e">
        <f>VLOOKUP(A26,saisie!B$7:AL$26,12,0)</f>
        <v>#N/A</v>
      </c>
      <c r="M26" s="177" t="e">
        <f>VLOOKUP(A26,saisie!B$7:AL$26,13,0)</f>
        <v>#N/A</v>
      </c>
      <c r="N26" s="178" t="e">
        <f>VLOOKUP(A26,saisie!B$7:AL$26,14,0)</f>
        <v>#N/A</v>
      </c>
      <c r="O26" s="179" t="e">
        <f>VLOOKUP(A26,saisie!B$7:AL$26,15,0)</f>
        <v>#N/A</v>
      </c>
      <c r="P26" s="176" t="e">
        <f>VLOOKUP(A26,saisie!B$7:AL$26,16,0)</f>
        <v>#N/A</v>
      </c>
      <c r="Q26" s="177" t="e">
        <f>VLOOKUP(A26,saisie!B$7:AL$26,17,0)</f>
        <v>#N/A</v>
      </c>
      <c r="R26" s="177" t="e">
        <f>VLOOKUP(A26,saisie!B$7:AL$26,18,0)</f>
        <v>#N/A</v>
      </c>
      <c r="S26" s="177" t="e">
        <f>VLOOKUP(A26,saisie!B$7:AL$26,19,0)</f>
        <v>#N/A</v>
      </c>
      <c r="T26" s="178" t="e">
        <f>VLOOKUP(A26,saisie!B$7:AL$26,20,0)</f>
        <v>#N/A</v>
      </c>
      <c r="U26" s="179" t="e">
        <f>VLOOKUP(A26,saisie!B$7:AL$26,21,0)</f>
        <v>#N/A</v>
      </c>
      <c r="V26" s="176" t="e">
        <f>VLOOKUP(A26,saisie!B$7:AL$26,22,0)</f>
        <v>#N/A</v>
      </c>
      <c r="W26" s="177" t="e">
        <f>VLOOKUP(A26,saisie!B$7:AL$26,23,0)</f>
        <v>#N/A</v>
      </c>
      <c r="X26" s="177" t="e">
        <f>VLOOKUP(A26,saisie!B$7:AL$26,24,0)</f>
        <v>#N/A</v>
      </c>
      <c r="Y26" s="177" t="e">
        <f>VLOOKUP(A26,saisie!B$7:AL$26,25,0)</f>
        <v>#N/A</v>
      </c>
      <c r="Z26" s="178" t="e">
        <f>VLOOKUP(A26,saisie!B$7:AL$26,26,0)</f>
        <v>#N/A</v>
      </c>
      <c r="AA26" s="179" t="e">
        <f>VLOOKUP(A26,saisie!B$7:AL$26,27,0)</f>
        <v>#N/A</v>
      </c>
      <c r="AB26" s="176" t="e">
        <f>VLOOKUP(A26,saisie!B$7:AL$26,28,0)</f>
        <v>#N/A</v>
      </c>
      <c r="AC26" s="177" t="e">
        <f>VLOOKUP(A26,saisie!B$7:AL$26,29,0)</f>
        <v>#N/A</v>
      </c>
      <c r="AD26" s="177" t="e">
        <f>VLOOKUP(A26,saisie!B$7:AL$26,30,0)</f>
        <v>#N/A</v>
      </c>
      <c r="AE26" s="177" t="e">
        <f>VLOOKUP(A26,saisie!B$7:AL$26,31,0)</f>
        <v>#N/A</v>
      </c>
      <c r="AF26" s="178" t="e">
        <f>VLOOKUP(A26,saisie!B$7:AL$26,32,0)</f>
        <v>#N/A</v>
      </c>
      <c r="AG26" s="179" t="e">
        <f>VLOOKUP(A26,saisie!B$7:AL$26,33,0)</f>
        <v>#N/A</v>
      </c>
      <c r="AH26" s="173" t="e">
        <f>VLOOKUP(A26,saisie!B$7:AL$26,34,0)</f>
        <v>#N/A</v>
      </c>
      <c r="AI26" s="180" t="e">
        <f>VLOOKUP(A26,saisie!B$7:AL$26,35,0)</f>
        <v>#N/A</v>
      </c>
      <c r="AJ26" s="181"/>
    </row>
    <row r="27" spans="1:36" s="182" customFormat="1" ht="108.95" customHeight="1">
      <c r="A27" s="183" t="str">
        <f>IF(INFO!B8&gt;20,21,"")</f>
        <v/>
      </c>
      <c r="B27" s="174" t="e">
        <f>VLOOKUP(A27,saisie!B$7:AL$26,2,0)</f>
        <v>#N/A</v>
      </c>
      <c r="C27" s="175" t="e">
        <f>VLOOKUP(A27,saisie!B$7:AL$26,3,0)</f>
        <v>#N/A</v>
      </c>
      <c r="D27" s="176" t="e">
        <f>VLOOKUP(A27,saisie!B$7:AL$26,4,0)</f>
        <v>#N/A</v>
      </c>
      <c r="E27" s="177" t="e">
        <f>VLOOKUP(A27,saisie!B$7:AL$26,5,0)</f>
        <v>#N/A</v>
      </c>
      <c r="F27" s="177" t="e">
        <f>VLOOKUP(A27,saisie!B$7:AL$26,6,0)</f>
        <v>#N/A</v>
      </c>
      <c r="G27" s="177" t="e">
        <f>VLOOKUP(A27,saisie!B$7:AL$26,7,0)</f>
        <v>#N/A</v>
      </c>
      <c r="H27" s="178" t="e">
        <f>VLOOKUP(A27,saisie!B$7:AL$26,8,0)</f>
        <v>#N/A</v>
      </c>
      <c r="I27" s="179" t="e">
        <f>VLOOKUP(A27,saisie!B$7:AL$26,9,0)</f>
        <v>#N/A</v>
      </c>
      <c r="J27" s="176" t="e">
        <f>VLOOKUP(A27,saisie!B$7:AL$26,10,0)</f>
        <v>#N/A</v>
      </c>
      <c r="K27" s="177" t="e">
        <f>VLOOKUP(A27,saisie!B$7:AL$26,11,0)</f>
        <v>#N/A</v>
      </c>
      <c r="L27" s="177" t="e">
        <f>VLOOKUP(A27,saisie!B$7:AL$26,12,0)</f>
        <v>#N/A</v>
      </c>
      <c r="M27" s="177" t="e">
        <f>VLOOKUP(A27,saisie!B$7:AL$26,13,0)</f>
        <v>#N/A</v>
      </c>
      <c r="N27" s="178" t="e">
        <f>VLOOKUP(A27,saisie!B$7:AL$26,14,0)</f>
        <v>#N/A</v>
      </c>
      <c r="O27" s="179" t="e">
        <f>VLOOKUP(A27,saisie!B$7:AL$26,15,0)</f>
        <v>#N/A</v>
      </c>
      <c r="P27" s="176" t="e">
        <f>VLOOKUP(A27,saisie!B$7:AL$26,16,0)</f>
        <v>#N/A</v>
      </c>
      <c r="Q27" s="177" t="e">
        <f>VLOOKUP(A27,saisie!B$7:AL$26,17,0)</f>
        <v>#N/A</v>
      </c>
      <c r="R27" s="177" t="e">
        <f>VLOOKUP(A27,saisie!B$7:AL$26,18,0)</f>
        <v>#N/A</v>
      </c>
      <c r="S27" s="177" t="e">
        <f>VLOOKUP(A27,saisie!B$7:AL$26,19,0)</f>
        <v>#N/A</v>
      </c>
      <c r="T27" s="178" t="e">
        <f>VLOOKUP(A27,saisie!B$7:AL$26,20,0)</f>
        <v>#N/A</v>
      </c>
      <c r="U27" s="179" t="e">
        <f>VLOOKUP(A27,saisie!B$7:AL$26,21,0)</f>
        <v>#N/A</v>
      </c>
      <c r="V27" s="176" t="e">
        <f>VLOOKUP(A27,saisie!B$7:AL$26,22,0)</f>
        <v>#N/A</v>
      </c>
      <c r="W27" s="177" t="e">
        <f>VLOOKUP(A27,saisie!B$7:AL$26,23,0)</f>
        <v>#N/A</v>
      </c>
      <c r="X27" s="177" t="e">
        <f>VLOOKUP(A27,saisie!B$7:AL$26,24,0)</f>
        <v>#N/A</v>
      </c>
      <c r="Y27" s="177" t="e">
        <f>VLOOKUP(A27,saisie!B$7:AL$26,25,0)</f>
        <v>#N/A</v>
      </c>
      <c r="Z27" s="178" t="e">
        <f>VLOOKUP(A27,saisie!B$7:AL$26,26,0)</f>
        <v>#N/A</v>
      </c>
      <c r="AA27" s="179" t="e">
        <f>VLOOKUP(A27,saisie!B$7:AL$26,27,0)</f>
        <v>#N/A</v>
      </c>
      <c r="AB27" s="176" t="e">
        <f>VLOOKUP(A27,saisie!B$7:AL$26,28,0)</f>
        <v>#N/A</v>
      </c>
      <c r="AC27" s="177" t="e">
        <f>VLOOKUP(A27,saisie!B$7:AL$26,29,0)</f>
        <v>#N/A</v>
      </c>
      <c r="AD27" s="177" t="e">
        <f>VLOOKUP(A27,saisie!B$7:AL$26,30,0)</f>
        <v>#N/A</v>
      </c>
      <c r="AE27" s="177" t="e">
        <f>VLOOKUP(A27,saisie!B$7:AL$26,31,0)</f>
        <v>#N/A</v>
      </c>
      <c r="AF27" s="178" t="e">
        <f>VLOOKUP(A27,saisie!B$7:AL$26,32,0)</f>
        <v>#N/A</v>
      </c>
      <c r="AG27" s="179" t="e">
        <f>VLOOKUP(A27,saisie!B$7:AL$26,33,0)</f>
        <v>#N/A</v>
      </c>
      <c r="AH27" s="184" t="e">
        <f>VLOOKUP(A27,saisie!B$7:AL$26,34,0)</f>
        <v>#N/A</v>
      </c>
      <c r="AI27" s="180" t="e">
        <f>VLOOKUP(A27,saisie!B$7:AL$26,35,0)</f>
        <v>#N/A</v>
      </c>
      <c r="AJ27" s="181"/>
    </row>
    <row r="28" spans="1:36" s="182" customFormat="1" ht="108.95" customHeight="1">
      <c r="A28" s="183" t="str">
        <f>IF(INFO!B8&gt;21,22,"")</f>
        <v/>
      </c>
      <c r="B28" s="174" t="e">
        <f>VLOOKUP(A28,saisie!B$7:AL$26,2,0)</f>
        <v>#N/A</v>
      </c>
      <c r="C28" s="175" t="e">
        <f>VLOOKUP(A28,saisie!B$7:AL$26,3,0)</f>
        <v>#N/A</v>
      </c>
      <c r="D28" s="176" t="e">
        <f>VLOOKUP(A28,saisie!B$7:AL$26,4,0)</f>
        <v>#N/A</v>
      </c>
      <c r="E28" s="177" t="e">
        <f>VLOOKUP(A28,saisie!B$7:AL$26,5,0)</f>
        <v>#N/A</v>
      </c>
      <c r="F28" s="177" t="e">
        <f>VLOOKUP(A28,saisie!B$7:AL$26,6,0)</f>
        <v>#N/A</v>
      </c>
      <c r="G28" s="177" t="e">
        <f>VLOOKUP(A28,saisie!B$7:AL$26,7,0)</f>
        <v>#N/A</v>
      </c>
      <c r="H28" s="178" t="e">
        <f>VLOOKUP(A28,saisie!B$7:AL$26,8,0)</f>
        <v>#N/A</v>
      </c>
      <c r="I28" s="179" t="e">
        <f>VLOOKUP(A28,saisie!B$7:AL$26,9,0)</f>
        <v>#N/A</v>
      </c>
      <c r="J28" s="176" t="e">
        <f>VLOOKUP(A28,saisie!B$7:AL$26,10,0)</f>
        <v>#N/A</v>
      </c>
      <c r="K28" s="177" t="e">
        <f>VLOOKUP(A28,saisie!B$7:AL$26,11,0)</f>
        <v>#N/A</v>
      </c>
      <c r="L28" s="177" t="e">
        <f>VLOOKUP(A28,saisie!B$7:AL$26,12,0)</f>
        <v>#N/A</v>
      </c>
      <c r="M28" s="177" t="e">
        <f>VLOOKUP(A28,saisie!B$7:AL$26,13,0)</f>
        <v>#N/A</v>
      </c>
      <c r="N28" s="178" t="e">
        <f>VLOOKUP(A28,saisie!B$7:AL$26,14,0)</f>
        <v>#N/A</v>
      </c>
      <c r="O28" s="179" t="e">
        <f>VLOOKUP(A28,saisie!B$7:AL$26,15,0)</f>
        <v>#N/A</v>
      </c>
      <c r="P28" s="176" t="e">
        <f>VLOOKUP(A28,saisie!B$7:AL$26,16,0)</f>
        <v>#N/A</v>
      </c>
      <c r="Q28" s="177" t="e">
        <f>VLOOKUP(A28,saisie!B$7:AL$26,17,0)</f>
        <v>#N/A</v>
      </c>
      <c r="R28" s="177" t="e">
        <f>VLOOKUP(A28,saisie!B$7:AL$26,18,0)</f>
        <v>#N/A</v>
      </c>
      <c r="S28" s="177" t="e">
        <f>VLOOKUP(A28,saisie!B$7:AL$26,19,0)</f>
        <v>#N/A</v>
      </c>
      <c r="T28" s="178" t="e">
        <f>VLOOKUP(A28,saisie!B$7:AL$26,20,0)</f>
        <v>#N/A</v>
      </c>
      <c r="U28" s="179" t="e">
        <f>VLOOKUP(A28,saisie!B$7:AL$26,21,0)</f>
        <v>#N/A</v>
      </c>
      <c r="V28" s="176" t="e">
        <f>VLOOKUP(A28,saisie!B$7:AL$26,22,0)</f>
        <v>#N/A</v>
      </c>
      <c r="W28" s="177" t="e">
        <f>VLOOKUP(A28,saisie!B$7:AL$26,23,0)</f>
        <v>#N/A</v>
      </c>
      <c r="X28" s="177" t="e">
        <f>VLOOKUP(A28,saisie!B$7:AL$26,24,0)</f>
        <v>#N/A</v>
      </c>
      <c r="Y28" s="177" t="e">
        <f>VLOOKUP(A28,saisie!B$7:AL$26,25,0)</f>
        <v>#N/A</v>
      </c>
      <c r="Z28" s="178" t="e">
        <f>VLOOKUP(A28,saisie!B$7:AL$26,26,0)</f>
        <v>#N/A</v>
      </c>
      <c r="AA28" s="179" t="e">
        <f>VLOOKUP(A28,saisie!B$7:AL$26,27,0)</f>
        <v>#N/A</v>
      </c>
      <c r="AB28" s="176" t="e">
        <f>VLOOKUP(A28,saisie!B$7:AL$26,28,0)</f>
        <v>#N/A</v>
      </c>
      <c r="AC28" s="177" t="e">
        <f>VLOOKUP(A28,saisie!B$7:AL$26,29,0)</f>
        <v>#N/A</v>
      </c>
      <c r="AD28" s="177" t="e">
        <f>VLOOKUP(A28,saisie!B$7:AL$26,30,0)</f>
        <v>#N/A</v>
      </c>
      <c r="AE28" s="177" t="e">
        <f>VLOOKUP(A28,saisie!B$7:AL$26,31,0)</f>
        <v>#N/A</v>
      </c>
      <c r="AF28" s="178" t="e">
        <f>VLOOKUP(A28,saisie!B$7:AL$26,32,0)</f>
        <v>#N/A</v>
      </c>
      <c r="AG28" s="179" t="e">
        <f>VLOOKUP(A28,saisie!B$7:AL$26,33,0)</f>
        <v>#N/A</v>
      </c>
      <c r="AH28" s="184" t="e">
        <f>VLOOKUP(A28,saisie!B$7:AL$26,34,0)</f>
        <v>#N/A</v>
      </c>
      <c r="AI28" s="180" t="e">
        <f>VLOOKUP(A28,saisie!B$7:AL$26,35,0)</f>
        <v>#N/A</v>
      </c>
      <c r="AJ28" s="181"/>
    </row>
    <row r="29" spans="1:36" s="182" customFormat="1" ht="108.95" customHeight="1">
      <c r="A29" s="183" t="str">
        <f>IF(INFO!B8&gt;22,23,"")</f>
        <v/>
      </c>
      <c r="B29" s="174" t="e">
        <f>VLOOKUP(A29,saisie!B$7:AL$26,2,0)</f>
        <v>#N/A</v>
      </c>
      <c r="C29" s="175" t="e">
        <f>VLOOKUP(A29,saisie!B$7:AL$26,3,0)</f>
        <v>#N/A</v>
      </c>
      <c r="D29" s="176" t="e">
        <f>VLOOKUP(A29,saisie!B$7:AL$26,4,0)</f>
        <v>#N/A</v>
      </c>
      <c r="E29" s="177" t="e">
        <f>VLOOKUP(A29,saisie!B$7:AL$26,5,0)</f>
        <v>#N/A</v>
      </c>
      <c r="F29" s="177" t="e">
        <f>VLOOKUP(A29,saisie!B$7:AL$26,6,0)</f>
        <v>#N/A</v>
      </c>
      <c r="G29" s="177" t="e">
        <f>VLOOKUP(A29,saisie!B$7:AL$26,7,0)</f>
        <v>#N/A</v>
      </c>
      <c r="H29" s="178" t="e">
        <f>VLOOKUP(A29,saisie!B$7:AL$26,8,0)</f>
        <v>#N/A</v>
      </c>
      <c r="I29" s="179" t="e">
        <f>VLOOKUP(A29,saisie!B$7:AL$26,9,0)</f>
        <v>#N/A</v>
      </c>
      <c r="J29" s="176" t="e">
        <f>VLOOKUP(A29,saisie!B$7:AL$26,10,0)</f>
        <v>#N/A</v>
      </c>
      <c r="K29" s="177" t="e">
        <f>VLOOKUP(A29,saisie!B$7:AL$26,11,0)</f>
        <v>#N/A</v>
      </c>
      <c r="L29" s="177" t="e">
        <f>VLOOKUP(A29,saisie!B$7:AL$26,12,0)</f>
        <v>#N/A</v>
      </c>
      <c r="M29" s="177" t="e">
        <f>VLOOKUP(A29,saisie!B$7:AL$26,13,0)</f>
        <v>#N/A</v>
      </c>
      <c r="N29" s="178" t="e">
        <f>VLOOKUP(A29,saisie!B$7:AL$26,14,0)</f>
        <v>#N/A</v>
      </c>
      <c r="O29" s="179" t="e">
        <f>VLOOKUP(A29,saisie!B$7:AL$26,15,0)</f>
        <v>#N/A</v>
      </c>
      <c r="P29" s="176" t="e">
        <f>VLOOKUP(A29,saisie!B$7:AL$26,16,0)</f>
        <v>#N/A</v>
      </c>
      <c r="Q29" s="177" t="e">
        <f>VLOOKUP(A29,saisie!B$7:AL$26,17,0)</f>
        <v>#N/A</v>
      </c>
      <c r="R29" s="177" t="e">
        <f>VLOOKUP(A29,saisie!B$7:AL$26,18,0)</f>
        <v>#N/A</v>
      </c>
      <c r="S29" s="177" t="e">
        <f>VLOOKUP(A29,saisie!B$7:AL$26,19,0)</f>
        <v>#N/A</v>
      </c>
      <c r="T29" s="178" t="e">
        <f>VLOOKUP(A29,saisie!B$7:AL$26,20,0)</f>
        <v>#N/A</v>
      </c>
      <c r="U29" s="179" t="e">
        <f>VLOOKUP(A29,saisie!B$7:AL$26,21,0)</f>
        <v>#N/A</v>
      </c>
      <c r="V29" s="176" t="e">
        <f>VLOOKUP(A29,saisie!B$7:AL$26,22,0)</f>
        <v>#N/A</v>
      </c>
      <c r="W29" s="177" t="e">
        <f>VLOOKUP(A29,saisie!B$7:AL$26,23,0)</f>
        <v>#N/A</v>
      </c>
      <c r="X29" s="177" t="e">
        <f>VLOOKUP(A29,saisie!B$7:AL$26,24,0)</f>
        <v>#N/A</v>
      </c>
      <c r="Y29" s="177" t="e">
        <f>VLOOKUP(A29,saisie!B$7:AL$26,25,0)</f>
        <v>#N/A</v>
      </c>
      <c r="Z29" s="178" t="e">
        <f>VLOOKUP(A29,saisie!B$7:AL$26,26,0)</f>
        <v>#N/A</v>
      </c>
      <c r="AA29" s="179" t="e">
        <f>VLOOKUP(A29,saisie!B$7:AL$26,27,0)</f>
        <v>#N/A</v>
      </c>
      <c r="AB29" s="176" t="e">
        <f>VLOOKUP(A29,saisie!B$7:AL$26,28,0)</f>
        <v>#N/A</v>
      </c>
      <c r="AC29" s="177" t="e">
        <f>VLOOKUP(A29,saisie!B$7:AL$26,29,0)</f>
        <v>#N/A</v>
      </c>
      <c r="AD29" s="177" t="e">
        <f>VLOOKUP(A29,saisie!B$7:AL$26,30,0)</f>
        <v>#N/A</v>
      </c>
      <c r="AE29" s="177" t="e">
        <f>VLOOKUP(A29,saisie!B$7:AL$26,31,0)</f>
        <v>#N/A</v>
      </c>
      <c r="AF29" s="178" t="e">
        <f>VLOOKUP(A29,saisie!B$7:AL$26,32,0)</f>
        <v>#N/A</v>
      </c>
      <c r="AG29" s="179" t="e">
        <f>VLOOKUP(A29,saisie!B$7:AL$26,33,0)</f>
        <v>#N/A</v>
      </c>
      <c r="AH29" s="184" t="e">
        <f>VLOOKUP(A29,saisie!B$7:AL$26,34,0)</f>
        <v>#N/A</v>
      </c>
      <c r="AI29" s="180" t="e">
        <f>VLOOKUP(A29,saisie!B$7:AL$26,35,0)</f>
        <v>#N/A</v>
      </c>
      <c r="AJ29" s="181"/>
    </row>
    <row r="30" spans="1:36" s="182" customFormat="1" ht="108.95" customHeight="1">
      <c r="A30" s="183" t="str">
        <f>IF(INFO!B8&gt;23,24,"")</f>
        <v/>
      </c>
      <c r="B30" s="174" t="e">
        <f>VLOOKUP(A30,saisie!B$7:AL$26,2,0)</f>
        <v>#N/A</v>
      </c>
      <c r="C30" s="175" t="e">
        <f>VLOOKUP(A30,saisie!B$7:AL$26,3,0)</f>
        <v>#N/A</v>
      </c>
      <c r="D30" s="176" t="e">
        <f>VLOOKUP(A30,saisie!B$7:AL$26,4,0)</f>
        <v>#N/A</v>
      </c>
      <c r="E30" s="177" t="e">
        <f>VLOOKUP(A30,saisie!B$7:AL$26,5,0)</f>
        <v>#N/A</v>
      </c>
      <c r="F30" s="177" t="e">
        <f>VLOOKUP(A30,saisie!B$7:AL$26,6,0)</f>
        <v>#N/A</v>
      </c>
      <c r="G30" s="177" t="e">
        <f>VLOOKUP(A30,saisie!B$7:AL$26,7,0)</f>
        <v>#N/A</v>
      </c>
      <c r="H30" s="178" t="e">
        <f>VLOOKUP(A30,saisie!B$7:AL$26,8,0)</f>
        <v>#N/A</v>
      </c>
      <c r="I30" s="179" t="e">
        <f>VLOOKUP(A30,saisie!B$7:AL$26,9,0)</f>
        <v>#N/A</v>
      </c>
      <c r="J30" s="176" t="e">
        <f>VLOOKUP(A30,saisie!B$7:AL$26,10,0)</f>
        <v>#N/A</v>
      </c>
      <c r="K30" s="177" t="e">
        <f>VLOOKUP(A30,saisie!B$7:AL$26,11,0)</f>
        <v>#N/A</v>
      </c>
      <c r="L30" s="177" t="e">
        <f>VLOOKUP(A30,saisie!B$7:AL$26,12,0)</f>
        <v>#N/A</v>
      </c>
      <c r="M30" s="177" t="e">
        <f>VLOOKUP(A30,saisie!B$7:AL$26,13,0)</f>
        <v>#N/A</v>
      </c>
      <c r="N30" s="178" t="e">
        <f>VLOOKUP(A30,saisie!B$7:AL$26,14,0)</f>
        <v>#N/A</v>
      </c>
      <c r="O30" s="179" t="e">
        <f>VLOOKUP(A30,saisie!B$7:AL$26,15,0)</f>
        <v>#N/A</v>
      </c>
      <c r="P30" s="176" t="e">
        <f>VLOOKUP(A30,saisie!B$7:AL$26,16,0)</f>
        <v>#N/A</v>
      </c>
      <c r="Q30" s="177" t="e">
        <f>VLOOKUP(A30,saisie!B$7:AL$26,17,0)</f>
        <v>#N/A</v>
      </c>
      <c r="R30" s="177" t="e">
        <f>VLOOKUP(A30,saisie!B$7:AL$26,18,0)</f>
        <v>#N/A</v>
      </c>
      <c r="S30" s="177" t="e">
        <f>VLOOKUP(A30,saisie!B$7:AL$26,19,0)</f>
        <v>#N/A</v>
      </c>
      <c r="T30" s="178" t="e">
        <f>VLOOKUP(A30,saisie!B$7:AL$26,20,0)</f>
        <v>#N/A</v>
      </c>
      <c r="U30" s="179" t="e">
        <f>VLOOKUP(A30,saisie!B$7:AL$26,21,0)</f>
        <v>#N/A</v>
      </c>
      <c r="V30" s="176" t="e">
        <f>VLOOKUP(A30,saisie!B$7:AL$26,22,0)</f>
        <v>#N/A</v>
      </c>
      <c r="W30" s="177" t="e">
        <f>VLOOKUP(A30,saisie!B$7:AL$26,23,0)</f>
        <v>#N/A</v>
      </c>
      <c r="X30" s="177" t="e">
        <f>VLOOKUP(A30,saisie!B$7:AL$26,24,0)</f>
        <v>#N/A</v>
      </c>
      <c r="Y30" s="177" t="e">
        <f>VLOOKUP(A30,saisie!B$7:AL$26,25,0)</f>
        <v>#N/A</v>
      </c>
      <c r="Z30" s="178" t="e">
        <f>VLOOKUP(A30,saisie!B$7:AL$26,26,0)</f>
        <v>#N/A</v>
      </c>
      <c r="AA30" s="179" t="e">
        <f>VLOOKUP(A30,saisie!B$7:AL$26,27,0)</f>
        <v>#N/A</v>
      </c>
      <c r="AB30" s="176" t="e">
        <f>VLOOKUP(A30,saisie!B$7:AL$26,28,0)</f>
        <v>#N/A</v>
      </c>
      <c r="AC30" s="177" t="e">
        <f>VLOOKUP(A30,saisie!B$7:AL$26,29,0)</f>
        <v>#N/A</v>
      </c>
      <c r="AD30" s="177" t="e">
        <f>VLOOKUP(A30,saisie!B$7:AL$26,30,0)</f>
        <v>#N/A</v>
      </c>
      <c r="AE30" s="177" t="e">
        <f>VLOOKUP(A30,saisie!B$7:AL$26,31,0)</f>
        <v>#N/A</v>
      </c>
      <c r="AF30" s="178" t="e">
        <f>VLOOKUP(A30,saisie!B$7:AL$26,32,0)</f>
        <v>#N/A</v>
      </c>
      <c r="AG30" s="179" t="e">
        <f>VLOOKUP(A30,saisie!B$7:AL$26,33,0)</f>
        <v>#N/A</v>
      </c>
      <c r="AH30" s="184" t="e">
        <f>VLOOKUP(A30,saisie!B$7:AL$26,34,0)</f>
        <v>#N/A</v>
      </c>
      <c r="AI30" s="180" t="e">
        <f>VLOOKUP(A30,saisie!B$7:AL$26,35,0)</f>
        <v>#N/A</v>
      </c>
      <c r="AJ30" s="181"/>
    </row>
    <row r="31" spans="1:36" s="182" customFormat="1" ht="108.95" customHeight="1">
      <c r="A31" s="183" t="str">
        <f>IF(INFO!B8&gt;24,25,"")</f>
        <v/>
      </c>
      <c r="B31" s="174" t="e">
        <f>VLOOKUP(A31,saisie!B$7:AL$26,2,0)</f>
        <v>#N/A</v>
      </c>
      <c r="C31" s="175" t="e">
        <f>VLOOKUP(A31,saisie!B$7:AL$26,3,0)</f>
        <v>#N/A</v>
      </c>
      <c r="D31" s="176" t="e">
        <f>VLOOKUP(A31,saisie!B$7:AL$26,4,0)</f>
        <v>#N/A</v>
      </c>
      <c r="E31" s="177" t="e">
        <f>VLOOKUP(A31,saisie!B$7:AL$26,5,0)</f>
        <v>#N/A</v>
      </c>
      <c r="F31" s="177" t="e">
        <f>VLOOKUP(A31,saisie!B$7:AL$26,6,0)</f>
        <v>#N/A</v>
      </c>
      <c r="G31" s="177" t="e">
        <f>VLOOKUP(A31,saisie!B$7:AL$26,7,0)</f>
        <v>#N/A</v>
      </c>
      <c r="H31" s="178" t="e">
        <f>VLOOKUP(A31,saisie!B$7:AL$26,8,0)</f>
        <v>#N/A</v>
      </c>
      <c r="I31" s="179" t="e">
        <f>VLOOKUP(A31,saisie!B$7:AL$26,9,0)</f>
        <v>#N/A</v>
      </c>
      <c r="J31" s="176" t="e">
        <f>VLOOKUP(A31,saisie!B$7:AL$26,10,0)</f>
        <v>#N/A</v>
      </c>
      <c r="K31" s="177" t="e">
        <f>VLOOKUP(A31,saisie!B$7:AL$26,11,0)</f>
        <v>#N/A</v>
      </c>
      <c r="L31" s="177" t="e">
        <f>VLOOKUP(A31,saisie!B$7:AL$26,12,0)</f>
        <v>#N/A</v>
      </c>
      <c r="M31" s="177" t="e">
        <f>VLOOKUP(A31,saisie!B$7:AL$26,13,0)</f>
        <v>#N/A</v>
      </c>
      <c r="N31" s="178" t="e">
        <f>VLOOKUP(A31,saisie!B$7:AL$26,14,0)</f>
        <v>#N/A</v>
      </c>
      <c r="O31" s="179" t="e">
        <f>VLOOKUP(A31,saisie!B$7:AL$26,15,0)</f>
        <v>#N/A</v>
      </c>
      <c r="P31" s="176" t="e">
        <f>VLOOKUP(A31,saisie!B$7:AL$26,16,0)</f>
        <v>#N/A</v>
      </c>
      <c r="Q31" s="177" t="e">
        <f>VLOOKUP(A31,saisie!B$7:AL$26,17,0)</f>
        <v>#N/A</v>
      </c>
      <c r="R31" s="177" t="e">
        <f>VLOOKUP(A31,saisie!B$7:AL$26,18,0)</f>
        <v>#N/A</v>
      </c>
      <c r="S31" s="177" t="e">
        <f>VLOOKUP(A31,saisie!B$7:AL$26,19,0)</f>
        <v>#N/A</v>
      </c>
      <c r="T31" s="178" t="e">
        <f>VLOOKUP(A31,saisie!B$7:AL$26,20,0)</f>
        <v>#N/A</v>
      </c>
      <c r="U31" s="179" t="e">
        <f>VLOOKUP(A31,saisie!B$7:AL$26,21,0)</f>
        <v>#N/A</v>
      </c>
      <c r="V31" s="176" t="e">
        <f>VLOOKUP(A31,saisie!B$7:AL$26,22,0)</f>
        <v>#N/A</v>
      </c>
      <c r="W31" s="177" t="e">
        <f>VLOOKUP(A31,saisie!B$7:AL$26,23,0)</f>
        <v>#N/A</v>
      </c>
      <c r="X31" s="177" t="e">
        <f>VLOOKUP(A31,saisie!B$7:AL$26,24,0)</f>
        <v>#N/A</v>
      </c>
      <c r="Y31" s="177" t="e">
        <f>VLOOKUP(A31,saisie!B$7:AL$26,25,0)</f>
        <v>#N/A</v>
      </c>
      <c r="Z31" s="178" t="e">
        <f>VLOOKUP(A31,saisie!B$7:AL$26,26,0)</f>
        <v>#N/A</v>
      </c>
      <c r="AA31" s="179" t="e">
        <f>VLOOKUP(A31,saisie!B$7:AL$26,27,0)</f>
        <v>#N/A</v>
      </c>
      <c r="AB31" s="176" t="e">
        <f>VLOOKUP(A31,saisie!B$7:AL$26,28,0)</f>
        <v>#N/A</v>
      </c>
      <c r="AC31" s="177" t="e">
        <f>VLOOKUP(A31,saisie!B$7:AL$26,29,0)</f>
        <v>#N/A</v>
      </c>
      <c r="AD31" s="177" t="e">
        <f>VLOOKUP(A31,saisie!B$7:AL$26,30,0)</f>
        <v>#N/A</v>
      </c>
      <c r="AE31" s="177" t="e">
        <f>VLOOKUP(A31,saisie!B$7:AL$26,31,0)</f>
        <v>#N/A</v>
      </c>
      <c r="AF31" s="178" t="e">
        <f>VLOOKUP(A31,saisie!B$7:AL$26,32,0)</f>
        <v>#N/A</v>
      </c>
      <c r="AG31" s="179" t="e">
        <f>VLOOKUP(A31,saisie!B$7:AL$26,33,0)</f>
        <v>#N/A</v>
      </c>
      <c r="AH31" s="184" t="e">
        <f>VLOOKUP(A31,saisie!B$7:AL$26,34,0)</f>
        <v>#N/A</v>
      </c>
      <c r="AI31" s="180" t="e">
        <f>VLOOKUP(A31,saisie!B$7:AL$26,35,0)</f>
        <v>#N/A</v>
      </c>
      <c r="AJ31" s="181"/>
    </row>
    <row r="32" spans="1:36" s="182" customFormat="1" ht="108.95" customHeight="1">
      <c r="A32" s="183" t="str">
        <f>IF(INFO!B8&gt;25,26,"")</f>
        <v/>
      </c>
      <c r="B32" s="174" t="e">
        <f>VLOOKUP(A32,saisie!B$7:AL$26,2,0)</f>
        <v>#N/A</v>
      </c>
      <c r="C32" s="175" t="e">
        <f>VLOOKUP(A32,saisie!B$7:AL$26,3,0)</f>
        <v>#N/A</v>
      </c>
      <c r="D32" s="176" t="e">
        <f>VLOOKUP(A32,saisie!B$7:AL$26,4,0)</f>
        <v>#N/A</v>
      </c>
      <c r="E32" s="177" t="e">
        <f>VLOOKUP(A32,saisie!B$7:AL$26,5,0)</f>
        <v>#N/A</v>
      </c>
      <c r="F32" s="177" t="e">
        <f>VLOOKUP(A32,saisie!B$7:AL$26,6,0)</f>
        <v>#N/A</v>
      </c>
      <c r="G32" s="177" t="e">
        <f>VLOOKUP(A32,saisie!B$7:AL$26,7,0)</f>
        <v>#N/A</v>
      </c>
      <c r="H32" s="178" t="e">
        <f>VLOOKUP(A32,saisie!B$7:AL$26,8,0)</f>
        <v>#N/A</v>
      </c>
      <c r="I32" s="179" t="e">
        <f>VLOOKUP(A32,saisie!B$7:AL$26,9,0)</f>
        <v>#N/A</v>
      </c>
      <c r="J32" s="176" t="e">
        <f>VLOOKUP(A32,saisie!B$7:AL$26,10,0)</f>
        <v>#N/A</v>
      </c>
      <c r="K32" s="177" t="e">
        <f>VLOOKUP(A32,saisie!B$7:AL$26,11,0)</f>
        <v>#N/A</v>
      </c>
      <c r="L32" s="177" t="e">
        <f>VLOOKUP(A32,saisie!B$7:AL$26,12,0)</f>
        <v>#N/A</v>
      </c>
      <c r="M32" s="177" t="e">
        <f>VLOOKUP(A32,saisie!B$7:AL$26,13,0)</f>
        <v>#N/A</v>
      </c>
      <c r="N32" s="178" t="e">
        <f>VLOOKUP(A32,saisie!B$7:AL$26,14,0)</f>
        <v>#N/A</v>
      </c>
      <c r="O32" s="179" t="e">
        <f>VLOOKUP(A32,saisie!B$7:AL$26,15,0)</f>
        <v>#N/A</v>
      </c>
      <c r="P32" s="176" t="e">
        <f>VLOOKUP(A32,saisie!B$7:AL$26,16,0)</f>
        <v>#N/A</v>
      </c>
      <c r="Q32" s="177" t="e">
        <f>VLOOKUP(A32,saisie!B$7:AL$26,17,0)</f>
        <v>#N/A</v>
      </c>
      <c r="R32" s="177" t="e">
        <f>VLOOKUP(A32,saisie!B$7:AL$26,18,0)</f>
        <v>#N/A</v>
      </c>
      <c r="S32" s="177" t="e">
        <f>VLOOKUP(A32,saisie!B$7:AL$26,19,0)</f>
        <v>#N/A</v>
      </c>
      <c r="T32" s="178" t="e">
        <f>VLOOKUP(A32,saisie!B$7:AL$26,20,0)</f>
        <v>#N/A</v>
      </c>
      <c r="U32" s="179" t="e">
        <f>VLOOKUP(A32,saisie!B$7:AL$26,21,0)</f>
        <v>#N/A</v>
      </c>
      <c r="V32" s="176" t="e">
        <f>VLOOKUP(A32,saisie!B$7:AL$26,22,0)</f>
        <v>#N/A</v>
      </c>
      <c r="W32" s="177" t="e">
        <f>VLOOKUP(A32,saisie!B$7:AL$26,23,0)</f>
        <v>#N/A</v>
      </c>
      <c r="X32" s="177" t="e">
        <f>VLOOKUP(A32,saisie!B$7:AL$26,24,0)</f>
        <v>#N/A</v>
      </c>
      <c r="Y32" s="177" t="e">
        <f>VLOOKUP(A32,saisie!B$7:AL$26,25,0)</f>
        <v>#N/A</v>
      </c>
      <c r="Z32" s="178" t="e">
        <f>VLOOKUP(A32,saisie!B$7:AL$26,26,0)</f>
        <v>#N/A</v>
      </c>
      <c r="AA32" s="179" t="e">
        <f>VLOOKUP(A32,saisie!B$7:AL$26,27,0)</f>
        <v>#N/A</v>
      </c>
      <c r="AB32" s="176" t="e">
        <f>VLOOKUP(A32,saisie!B$7:AL$26,28,0)</f>
        <v>#N/A</v>
      </c>
      <c r="AC32" s="177" t="e">
        <f>VLOOKUP(A32,saisie!B$7:AL$26,29,0)</f>
        <v>#N/A</v>
      </c>
      <c r="AD32" s="177" t="e">
        <f>VLOOKUP(A32,saisie!B$7:AL$26,30,0)</f>
        <v>#N/A</v>
      </c>
      <c r="AE32" s="177" t="e">
        <f>VLOOKUP(A32,saisie!B$7:AL$26,31,0)</f>
        <v>#N/A</v>
      </c>
      <c r="AF32" s="178" t="e">
        <f>VLOOKUP(A32,saisie!B$7:AL$26,32,0)</f>
        <v>#N/A</v>
      </c>
      <c r="AG32" s="179" t="e">
        <f>VLOOKUP(A32,saisie!B$7:AL$26,33,0)</f>
        <v>#N/A</v>
      </c>
      <c r="AH32" s="184" t="e">
        <f>VLOOKUP(A32,saisie!B$7:AL$26,34,0)</f>
        <v>#N/A</v>
      </c>
      <c r="AI32" s="180" t="e">
        <f>VLOOKUP(A32,saisie!B$7:AL$26,35,0)</f>
        <v>#N/A</v>
      </c>
      <c r="AJ32" s="181"/>
    </row>
    <row r="33" spans="1:36" s="182" customFormat="1" ht="108.95" customHeight="1">
      <c r="A33" s="183" t="str">
        <f>IF(INFO!B8&gt;26,27,"")</f>
        <v/>
      </c>
      <c r="B33" s="174" t="e">
        <f>VLOOKUP(A33,saisie!B$7:AL$26,2,0)</f>
        <v>#N/A</v>
      </c>
      <c r="C33" s="175" t="e">
        <f>VLOOKUP(A33,saisie!B$7:AL$26,3,0)</f>
        <v>#N/A</v>
      </c>
      <c r="D33" s="176" t="e">
        <f>VLOOKUP(A33,saisie!B$7:AL$26,4,0)</f>
        <v>#N/A</v>
      </c>
      <c r="E33" s="177" t="e">
        <f>VLOOKUP(A33,saisie!B$7:AL$26,5,0)</f>
        <v>#N/A</v>
      </c>
      <c r="F33" s="177" t="e">
        <f>VLOOKUP(A33,saisie!B$7:AL$26,6,0)</f>
        <v>#N/A</v>
      </c>
      <c r="G33" s="177" t="e">
        <f>VLOOKUP(A33,saisie!B$7:AL$26,7,0)</f>
        <v>#N/A</v>
      </c>
      <c r="H33" s="178" t="e">
        <f>VLOOKUP(A33,saisie!B$7:AL$26,8,0)</f>
        <v>#N/A</v>
      </c>
      <c r="I33" s="179" t="e">
        <f>VLOOKUP(A33,saisie!B$7:AL$26,9,0)</f>
        <v>#N/A</v>
      </c>
      <c r="J33" s="176" t="e">
        <f>VLOOKUP(A33,saisie!B$7:AL$26,10,0)</f>
        <v>#N/A</v>
      </c>
      <c r="K33" s="177" t="e">
        <f>VLOOKUP(A33,saisie!B$7:AL$26,11,0)</f>
        <v>#N/A</v>
      </c>
      <c r="L33" s="177" t="e">
        <f>VLOOKUP(A33,saisie!B$7:AL$26,12,0)</f>
        <v>#N/A</v>
      </c>
      <c r="M33" s="177" t="e">
        <f>VLOOKUP(A33,saisie!B$7:AL$26,13,0)</f>
        <v>#N/A</v>
      </c>
      <c r="N33" s="178" t="e">
        <f>VLOOKUP(A33,saisie!B$7:AL$26,14,0)</f>
        <v>#N/A</v>
      </c>
      <c r="O33" s="179" t="e">
        <f>VLOOKUP(A33,saisie!B$7:AL$26,15,0)</f>
        <v>#N/A</v>
      </c>
      <c r="P33" s="176" t="e">
        <f>VLOOKUP(A33,saisie!B$7:AL$26,16,0)</f>
        <v>#N/A</v>
      </c>
      <c r="Q33" s="177" t="e">
        <f>VLOOKUP(A33,saisie!B$7:AL$26,17,0)</f>
        <v>#N/A</v>
      </c>
      <c r="R33" s="177" t="e">
        <f>VLOOKUP(A33,saisie!B$7:AL$26,18,0)</f>
        <v>#N/A</v>
      </c>
      <c r="S33" s="177" t="e">
        <f>VLOOKUP(A33,saisie!B$7:AL$26,19,0)</f>
        <v>#N/A</v>
      </c>
      <c r="T33" s="178" t="e">
        <f>VLOOKUP(A33,saisie!B$7:AL$26,20,0)</f>
        <v>#N/A</v>
      </c>
      <c r="U33" s="179" t="e">
        <f>VLOOKUP(A33,saisie!B$7:AL$26,21,0)</f>
        <v>#N/A</v>
      </c>
      <c r="V33" s="176" t="e">
        <f>VLOOKUP(A33,saisie!B$7:AL$26,22,0)</f>
        <v>#N/A</v>
      </c>
      <c r="W33" s="177" t="e">
        <f>VLOOKUP(A33,saisie!B$7:AL$26,23,0)</f>
        <v>#N/A</v>
      </c>
      <c r="X33" s="177" t="e">
        <f>VLOOKUP(A33,saisie!B$7:AL$26,24,0)</f>
        <v>#N/A</v>
      </c>
      <c r="Y33" s="177" t="e">
        <f>VLOOKUP(A33,saisie!B$7:AL$26,25,0)</f>
        <v>#N/A</v>
      </c>
      <c r="Z33" s="178" t="e">
        <f>VLOOKUP(A33,saisie!B$7:AL$26,26,0)</f>
        <v>#N/A</v>
      </c>
      <c r="AA33" s="179" t="e">
        <f>VLOOKUP(A33,saisie!B$7:AL$26,27,0)</f>
        <v>#N/A</v>
      </c>
      <c r="AB33" s="176" t="e">
        <f>VLOOKUP(A33,saisie!B$7:AL$26,28,0)</f>
        <v>#N/A</v>
      </c>
      <c r="AC33" s="177" t="e">
        <f>VLOOKUP(A33,saisie!B$7:AL$26,29,0)</f>
        <v>#N/A</v>
      </c>
      <c r="AD33" s="177" t="e">
        <f>VLOOKUP(A33,saisie!B$7:AL$26,30,0)</f>
        <v>#N/A</v>
      </c>
      <c r="AE33" s="177" t="e">
        <f>VLOOKUP(A33,saisie!B$7:AL$26,31,0)</f>
        <v>#N/A</v>
      </c>
      <c r="AF33" s="178" t="e">
        <f>VLOOKUP(A33,saisie!B$7:AL$26,32,0)</f>
        <v>#N/A</v>
      </c>
      <c r="AG33" s="179" t="e">
        <f>VLOOKUP(A33,saisie!B$7:AL$26,33,0)</f>
        <v>#N/A</v>
      </c>
      <c r="AH33" s="184" t="e">
        <f>VLOOKUP(A33,saisie!B$7:AL$26,34,0)</f>
        <v>#N/A</v>
      </c>
      <c r="AI33" s="180" t="e">
        <f>VLOOKUP(A33,saisie!B$7:AL$26,35,0)</f>
        <v>#N/A</v>
      </c>
      <c r="AJ33" s="181"/>
    </row>
    <row r="34" spans="1:36" s="182" customFormat="1" ht="108.95" customHeight="1">
      <c r="A34" s="183" t="str">
        <f>IF(INFO!B8&gt;27,28,"")</f>
        <v/>
      </c>
      <c r="B34" s="174" t="e">
        <f>VLOOKUP(A34,saisie!B$7:AL$26,2,0)</f>
        <v>#N/A</v>
      </c>
      <c r="C34" s="175" t="e">
        <f>VLOOKUP(A34,saisie!B$7:AL$26,3,0)</f>
        <v>#N/A</v>
      </c>
      <c r="D34" s="176" t="e">
        <f>VLOOKUP(A34,saisie!B$7:AL$26,4,0)</f>
        <v>#N/A</v>
      </c>
      <c r="E34" s="177" t="e">
        <f>VLOOKUP(A34,saisie!B$7:AL$26,5,0)</f>
        <v>#N/A</v>
      </c>
      <c r="F34" s="177" t="e">
        <f>VLOOKUP(A34,saisie!B$7:AL$26,6,0)</f>
        <v>#N/A</v>
      </c>
      <c r="G34" s="177" t="e">
        <f>VLOOKUP(A34,saisie!B$7:AL$26,7,0)</f>
        <v>#N/A</v>
      </c>
      <c r="H34" s="178" t="e">
        <f>VLOOKUP(A34,saisie!B$7:AL$26,8,0)</f>
        <v>#N/A</v>
      </c>
      <c r="I34" s="179" t="e">
        <f>VLOOKUP(A34,saisie!B$7:AL$26,9,0)</f>
        <v>#N/A</v>
      </c>
      <c r="J34" s="176" t="e">
        <f>VLOOKUP(A34,saisie!B$7:AL$26,10,0)</f>
        <v>#N/A</v>
      </c>
      <c r="K34" s="177" t="e">
        <f>VLOOKUP(A34,saisie!B$7:AL$26,11,0)</f>
        <v>#N/A</v>
      </c>
      <c r="L34" s="177" t="e">
        <f>VLOOKUP(A34,saisie!B$7:AL$26,12,0)</f>
        <v>#N/A</v>
      </c>
      <c r="M34" s="177" t="e">
        <f>VLOOKUP(A34,saisie!B$7:AL$26,13,0)</f>
        <v>#N/A</v>
      </c>
      <c r="N34" s="178" t="e">
        <f>VLOOKUP(A34,saisie!B$7:AL$26,14,0)</f>
        <v>#N/A</v>
      </c>
      <c r="O34" s="179" t="e">
        <f>VLOOKUP(A34,saisie!B$7:AL$26,15,0)</f>
        <v>#N/A</v>
      </c>
      <c r="P34" s="176" t="e">
        <f>VLOOKUP(A34,saisie!B$7:AL$26,16,0)</f>
        <v>#N/A</v>
      </c>
      <c r="Q34" s="177" t="e">
        <f>VLOOKUP(A34,saisie!B$7:AL$26,17,0)</f>
        <v>#N/A</v>
      </c>
      <c r="R34" s="177" t="e">
        <f>VLOOKUP(A34,saisie!B$7:AL$26,18,0)</f>
        <v>#N/A</v>
      </c>
      <c r="S34" s="177" t="e">
        <f>VLOOKUP(A34,saisie!B$7:AL$26,19,0)</f>
        <v>#N/A</v>
      </c>
      <c r="T34" s="178" t="e">
        <f>VLOOKUP(A34,saisie!B$7:AL$26,20,0)</f>
        <v>#N/A</v>
      </c>
      <c r="U34" s="179" t="e">
        <f>VLOOKUP(A34,saisie!B$7:AL$26,21,0)</f>
        <v>#N/A</v>
      </c>
      <c r="V34" s="176" t="e">
        <f>VLOOKUP(A34,saisie!B$7:AL$26,22,0)</f>
        <v>#N/A</v>
      </c>
      <c r="W34" s="177" t="e">
        <f>VLOOKUP(A34,saisie!B$7:AL$26,23,0)</f>
        <v>#N/A</v>
      </c>
      <c r="X34" s="177" t="e">
        <f>VLOOKUP(A34,saisie!B$7:AL$26,24,0)</f>
        <v>#N/A</v>
      </c>
      <c r="Y34" s="177" t="e">
        <f>VLOOKUP(A34,saisie!B$7:AL$26,25,0)</f>
        <v>#N/A</v>
      </c>
      <c r="Z34" s="178" t="e">
        <f>VLOOKUP(A34,saisie!B$7:AL$26,26,0)</f>
        <v>#N/A</v>
      </c>
      <c r="AA34" s="179" t="e">
        <f>VLOOKUP(A34,saisie!B$7:AL$26,27,0)</f>
        <v>#N/A</v>
      </c>
      <c r="AB34" s="176" t="e">
        <f>VLOOKUP(A34,saisie!B$7:AL$26,28,0)</f>
        <v>#N/A</v>
      </c>
      <c r="AC34" s="177" t="e">
        <f>VLOOKUP(A34,saisie!B$7:AL$26,29,0)</f>
        <v>#N/A</v>
      </c>
      <c r="AD34" s="177" t="e">
        <f>VLOOKUP(A34,saisie!B$7:AL$26,30,0)</f>
        <v>#N/A</v>
      </c>
      <c r="AE34" s="177" t="e">
        <f>VLOOKUP(A34,saisie!B$7:AL$26,31,0)</f>
        <v>#N/A</v>
      </c>
      <c r="AF34" s="178" t="e">
        <f>VLOOKUP(A34,saisie!B$7:AL$26,32,0)</f>
        <v>#N/A</v>
      </c>
      <c r="AG34" s="179" t="e">
        <f>VLOOKUP(A34,saisie!B$7:AL$26,33,0)</f>
        <v>#N/A</v>
      </c>
      <c r="AH34" s="184" t="e">
        <f>VLOOKUP(A34,saisie!B$7:AL$26,34,0)</f>
        <v>#N/A</v>
      </c>
      <c r="AI34" s="180" t="e">
        <f>VLOOKUP(A34,saisie!B$7:AL$26,35,0)</f>
        <v>#N/A</v>
      </c>
      <c r="AJ34" s="181"/>
    </row>
    <row r="35" spans="1:36" s="182" customFormat="1" ht="108.95" customHeight="1">
      <c r="A35" s="183" t="str">
        <f>IF(INFO!B8&gt;28,29,"")</f>
        <v/>
      </c>
      <c r="B35" s="174" t="e">
        <f>VLOOKUP(A35,saisie!B$7:AL$26,2,0)</f>
        <v>#N/A</v>
      </c>
      <c r="C35" s="175" t="e">
        <f>VLOOKUP(A35,saisie!B$7:AL$26,3,0)</f>
        <v>#N/A</v>
      </c>
      <c r="D35" s="176" t="e">
        <f>VLOOKUP(A35,saisie!B$7:AL$26,4,0)</f>
        <v>#N/A</v>
      </c>
      <c r="E35" s="177" t="e">
        <f>VLOOKUP(A35,saisie!B$7:AL$26,5,0)</f>
        <v>#N/A</v>
      </c>
      <c r="F35" s="177" t="e">
        <f>VLOOKUP(A35,saisie!B$7:AL$26,6,0)</f>
        <v>#N/A</v>
      </c>
      <c r="G35" s="177" t="e">
        <f>VLOOKUP(A35,saisie!B$7:AL$26,7,0)</f>
        <v>#N/A</v>
      </c>
      <c r="H35" s="178" t="e">
        <f>VLOOKUP(A35,saisie!B$7:AL$26,8,0)</f>
        <v>#N/A</v>
      </c>
      <c r="I35" s="179" t="e">
        <f>VLOOKUP(A35,saisie!B$7:AL$26,9,0)</f>
        <v>#N/A</v>
      </c>
      <c r="J35" s="176" t="e">
        <f>VLOOKUP(A35,saisie!B$7:AL$26,10,0)</f>
        <v>#N/A</v>
      </c>
      <c r="K35" s="177" t="e">
        <f>VLOOKUP(A35,saisie!B$7:AL$26,11,0)</f>
        <v>#N/A</v>
      </c>
      <c r="L35" s="177" t="e">
        <f>VLOOKUP(A35,saisie!B$7:AL$26,12,0)</f>
        <v>#N/A</v>
      </c>
      <c r="M35" s="177" t="e">
        <f>VLOOKUP(A35,saisie!B$7:AL$26,13,0)</f>
        <v>#N/A</v>
      </c>
      <c r="N35" s="178" t="e">
        <f>VLOOKUP(A35,saisie!B$7:AL$26,14,0)</f>
        <v>#N/A</v>
      </c>
      <c r="O35" s="179" t="e">
        <f>VLOOKUP(A35,saisie!B$7:AL$26,15,0)</f>
        <v>#N/A</v>
      </c>
      <c r="P35" s="176" t="e">
        <f>VLOOKUP(A35,saisie!B$7:AL$26,16,0)</f>
        <v>#N/A</v>
      </c>
      <c r="Q35" s="177" t="e">
        <f>VLOOKUP(A35,saisie!B$7:AL$26,17,0)</f>
        <v>#N/A</v>
      </c>
      <c r="R35" s="177" t="e">
        <f>VLOOKUP(A35,saisie!B$7:AL$26,18,0)</f>
        <v>#N/A</v>
      </c>
      <c r="S35" s="177" t="e">
        <f>VLOOKUP(A35,saisie!B$7:AL$26,19,0)</f>
        <v>#N/A</v>
      </c>
      <c r="T35" s="178" t="e">
        <f>VLOOKUP(A35,saisie!B$7:AL$26,20,0)</f>
        <v>#N/A</v>
      </c>
      <c r="U35" s="179" t="e">
        <f>VLOOKUP(A35,saisie!B$7:AL$26,21,0)</f>
        <v>#N/A</v>
      </c>
      <c r="V35" s="176" t="e">
        <f>VLOOKUP(A35,saisie!B$7:AL$26,22,0)</f>
        <v>#N/A</v>
      </c>
      <c r="W35" s="177" t="e">
        <f>VLOOKUP(A35,saisie!B$7:AL$26,23,0)</f>
        <v>#N/A</v>
      </c>
      <c r="X35" s="177" t="e">
        <f>VLOOKUP(A35,saisie!B$7:AL$26,24,0)</f>
        <v>#N/A</v>
      </c>
      <c r="Y35" s="177" t="e">
        <f>VLOOKUP(A35,saisie!B$7:AL$26,25,0)</f>
        <v>#N/A</v>
      </c>
      <c r="Z35" s="178" t="e">
        <f>VLOOKUP(A35,saisie!B$7:AL$26,26,0)</f>
        <v>#N/A</v>
      </c>
      <c r="AA35" s="179" t="e">
        <f>VLOOKUP(A35,saisie!B$7:AL$26,27,0)</f>
        <v>#N/A</v>
      </c>
      <c r="AB35" s="176" t="e">
        <f>VLOOKUP(A35,saisie!B$7:AL$26,28,0)</f>
        <v>#N/A</v>
      </c>
      <c r="AC35" s="177" t="e">
        <f>VLOOKUP(A35,saisie!B$7:AL$26,29,0)</f>
        <v>#N/A</v>
      </c>
      <c r="AD35" s="177" t="e">
        <f>VLOOKUP(A35,saisie!B$7:AL$26,30,0)</f>
        <v>#N/A</v>
      </c>
      <c r="AE35" s="177" t="e">
        <f>VLOOKUP(A35,saisie!B$7:AL$26,31,0)</f>
        <v>#N/A</v>
      </c>
      <c r="AF35" s="178" t="e">
        <f>VLOOKUP(A35,saisie!B$7:AL$26,32,0)</f>
        <v>#N/A</v>
      </c>
      <c r="AG35" s="179" t="e">
        <f>VLOOKUP(A35,saisie!B$7:AL$26,33,0)</f>
        <v>#N/A</v>
      </c>
      <c r="AH35" s="184" t="e">
        <f>VLOOKUP(A35,saisie!B$7:AL$26,34,0)</f>
        <v>#N/A</v>
      </c>
      <c r="AI35" s="180" t="e">
        <f>VLOOKUP(A35,saisie!B$7:AL$26,35,0)</f>
        <v>#N/A</v>
      </c>
      <c r="AJ35" s="181"/>
    </row>
    <row r="36" spans="1:36" s="182" customFormat="1" ht="108.95" customHeight="1">
      <c r="A36" s="183" t="str">
        <f>IF(INFO!B8&gt;29,30,"")</f>
        <v/>
      </c>
      <c r="B36" s="174" t="e">
        <f>VLOOKUP(A36,saisie!B$7:AL$26,2,0)</f>
        <v>#N/A</v>
      </c>
      <c r="C36" s="175" t="e">
        <f>VLOOKUP(A36,saisie!B$7:AL$26,3,0)</f>
        <v>#N/A</v>
      </c>
      <c r="D36" s="176" t="e">
        <f>VLOOKUP(A36,saisie!B$7:AL$26,4,0)</f>
        <v>#N/A</v>
      </c>
      <c r="E36" s="177" t="e">
        <f>VLOOKUP(A36,saisie!B$7:AL$26,5,0)</f>
        <v>#N/A</v>
      </c>
      <c r="F36" s="177" t="e">
        <f>VLOOKUP(A36,saisie!B$7:AL$26,6,0)</f>
        <v>#N/A</v>
      </c>
      <c r="G36" s="177" t="e">
        <f>VLOOKUP(A36,saisie!B$7:AL$26,7,0)</f>
        <v>#N/A</v>
      </c>
      <c r="H36" s="178" t="e">
        <f>VLOOKUP(A36,saisie!B$7:AL$26,8,0)</f>
        <v>#N/A</v>
      </c>
      <c r="I36" s="179" t="e">
        <f>VLOOKUP(A36,saisie!B$7:AL$26,9,0)</f>
        <v>#N/A</v>
      </c>
      <c r="J36" s="176" t="e">
        <f>VLOOKUP(A36,saisie!B$7:AL$26,10,0)</f>
        <v>#N/A</v>
      </c>
      <c r="K36" s="177" t="e">
        <f>VLOOKUP(A36,saisie!B$7:AL$26,11,0)</f>
        <v>#N/A</v>
      </c>
      <c r="L36" s="177" t="e">
        <f>VLOOKUP(A36,saisie!B$7:AL$26,12,0)</f>
        <v>#N/A</v>
      </c>
      <c r="M36" s="177" t="e">
        <f>VLOOKUP(A36,saisie!B$7:AL$26,13,0)</f>
        <v>#N/A</v>
      </c>
      <c r="N36" s="178" t="e">
        <f>VLOOKUP(A36,saisie!B$7:AL$26,14,0)</f>
        <v>#N/A</v>
      </c>
      <c r="O36" s="179" t="e">
        <f>VLOOKUP(A36,saisie!B$7:AL$26,15,0)</f>
        <v>#N/A</v>
      </c>
      <c r="P36" s="176" t="e">
        <f>VLOOKUP(A36,saisie!B$7:AL$26,16,0)</f>
        <v>#N/A</v>
      </c>
      <c r="Q36" s="177" t="e">
        <f>VLOOKUP(A36,saisie!B$7:AL$26,17,0)</f>
        <v>#N/A</v>
      </c>
      <c r="R36" s="177" t="e">
        <f>VLOOKUP(A36,saisie!B$7:AL$26,18,0)</f>
        <v>#N/A</v>
      </c>
      <c r="S36" s="177" t="e">
        <f>VLOOKUP(A36,saisie!B$7:AL$26,19,0)</f>
        <v>#N/A</v>
      </c>
      <c r="T36" s="178" t="e">
        <f>VLOOKUP(A36,saisie!B$7:AL$26,20,0)</f>
        <v>#N/A</v>
      </c>
      <c r="U36" s="179" t="e">
        <f>VLOOKUP(A36,saisie!B$7:AL$26,21,0)</f>
        <v>#N/A</v>
      </c>
      <c r="V36" s="176" t="e">
        <f>VLOOKUP(A36,saisie!B$7:AL$26,22,0)</f>
        <v>#N/A</v>
      </c>
      <c r="W36" s="177" t="e">
        <f>VLOOKUP(A36,saisie!B$7:AL$26,23,0)</f>
        <v>#N/A</v>
      </c>
      <c r="X36" s="177" t="e">
        <f>VLOOKUP(A36,saisie!B$7:AL$26,24,0)</f>
        <v>#N/A</v>
      </c>
      <c r="Y36" s="177" t="e">
        <f>VLOOKUP(A36,saisie!B$7:AL$26,25,0)</f>
        <v>#N/A</v>
      </c>
      <c r="Z36" s="178" t="e">
        <f>VLOOKUP(A36,saisie!B$7:AL$26,26,0)</f>
        <v>#N/A</v>
      </c>
      <c r="AA36" s="179" t="e">
        <f>VLOOKUP(A36,saisie!B$7:AL$26,27,0)</f>
        <v>#N/A</v>
      </c>
      <c r="AB36" s="176" t="e">
        <f>VLOOKUP(A36,saisie!B$7:AL$26,28,0)</f>
        <v>#N/A</v>
      </c>
      <c r="AC36" s="177" t="e">
        <f>VLOOKUP(A36,saisie!B$7:AL$26,29,0)</f>
        <v>#N/A</v>
      </c>
      <c r="AD36" s="177" t="e">
        <f>VLOOKUP(A36,saisie!B$7:AL$26,30,0)</f>
        <v>#N/A</v>
      </c>
      <c r="AE36" s="177" t="e">
        <f>VLOOKUP(A36,saisie!B$7:AL$26,31,0)</f>
        <v>#N/A</v>
      </c>
      <c r="AF36" s="178" t="e">
        <f>VLOOKUP(A36,saisie!B$7:AL$26,32,0)</f>
        <v>#N/A</v>
      </c>
      <c r="AG36" s="179" t="e">
        <f>VLOOKUP(A36,saisie!B$7:AL$26,33,0)</f>
        <v>#N/A</v>
      </c>
      <c r="AH36" s="184" t="e">
        <f>VLOOKUP(A36,saisie!B$7:AL$26,34,0)</f>
        <v>#N/A</v>
      </c>
      <c r="AI36" s="180" t="e">
        <f>VLOOKUP(A36,saisie!B$7:AL$26,35,0)</f>
        <v>#N/A</v>
      </c>
      <c r="AJ36" s="181"/>
    </row>
    <row r="37" spans="1:36" s="182" customFormat="1" ht="108.95" customHeight="1">
      <c r="A37" s="183" t="str">
        <f>IF(INFO!B8&gt;30,31,"")</f>
        <v/>
      </c>
      <c r="B37" s="174" t="e">
        <f>VLOOKUP(A37,saisie!B$7:AL$26,2,0)</f>
        <v>#N/A</v>
      </c>
      <c r="C37" s="175" t="e">
        <f>VLOOKUP(A37,saisie!B$7:AL$26,3,0)</f>
        <v>#N/A</v>
      </c>
      <c r="D37" s="176" t="e">
        <f>VLOOKUP(A37,saisie!B$7:AL$26,4,0)</f>
        <v>#N/A</v>
      </c>
      <c r="E37" s="177" t="e">
        <f>VLOOKUP(A37,saisie!B$7:AL$26,5,0)</f>
        <v>#N/A</v>
      </c>
      <c r="F37" s="177" t="e">
        <f>VLOOKUP(A37,saisie!B$7:AL$26,6,0)</f>
        <v>#N/A</v>
      </c>
      <c r="G37" s="177" t="e">
        <f>VLOOKUP(A37,saisie!B$7:AL$26,7,0)</f>
        <v>#N/A</v>
      </c>
      <c r="H37" s="178" t="e">
        <f>VLOOKUP(A37,saisie!B$7:AL$26,8,0)</f>
        <v>#N/A</v>
      </c>
      <c r="I37" s="179" t="e">
        <f>VLOOKUP(A37,saisie!B$7:AL$26,9,0)</f>
        <v>#N/A</v>
      </c>
      <c r="J37" s="176" t="e">
        <f>VLOOKUP(A37,saisie!B$7:AL$26,10,0)</f>
        <v>#N/A</v>
      </c>
      <c r="K37" s="177" t="e">
        <f>VLOOKUP(A37,saisie!B$7:AL$26,11,0)</f>
        <v>#N/A</v>
      </c>
      <c r="L37" s="177" t="e">
        <f>VLOOKUP(A37,saisie!B$7:AL$26,12,0)</f>
        <v>#N/A</v>
      </c>
      <c r="M37" s="177" t="e">
        <f>VLOOKUP(A37,saisie!B$7:AL$26,13,0)</f>
        <v>#N/A</v>
      </c>
      <c r="N37" s="178" t="e">
        <f>VLOOKUP(A37,saisie!B$7:AL$26,14,0)</f>
        <v>#N/A</v>
      </c>
      <c r="O37" s="179" t="e">
        <f>VLOOKUP(A37,saisie!B$7:AL$26,15,0)</f>
        <v>#N/A</v>
      </c>
      <c r="P37" s="176" t="e">
        <f>VLOOKUP(A37,saisie!B$7:AL$26,16,0)</f>
        <v>#N/A</v>
      </c>
      <c r="Q37" s="177" t="e">
        <f>VLOOKUP(A37,saisie!B$7:AL$26,17,0)</f>
        <v>#N/A</v>
      </c>
      <c r="R37" s="177" t="e">
        <f>VLOOKUP(A37,saisie!B$7:AL$26,18,0)</f>
        <v>#N/A</v>
      </c>
      <c r="S37" s="177" t="e">
        <f>VLOOKUP(A37,saisie!B$7:AL$26,19,0)</f>
        <v>#N/A</v>
      </c>
      <c r="T37" s="178" t="e">
        <f>VLOOKUP(A37,saisie!B$7:AL$26,20,0)</f>
        <v>#N/A</v>
      </c>
      <c r="U37" s="179" t="e">
        <f>VLOOKUP(A37,saisie!B$7:AL$26,21,0)</f>
        <v>#N/A</v>
      </c>
      <c r="V37" s="176" t="e">
        <f>VLOOKUP(A37,saisie!B$7:AL$26,22,0)</f>
        <v>#N/A</v>
      </c>
      <c r="W37" s="177" t="e">
        <f>VLOOKUP(A37,saisie!B$7:AL$26,23,0)</f>
        <v>#N/A</v>
      </c>
      <c r="X37" s="177" t="e">
        <f>VLOOKUP(A37,saisie!B$7:AL$26,24,0)</f>
        <v>#N/A</v>
      </c>
      <c r="Y37" s="177" t="e">
        <f>VLOOKUP(A37,saisie!B$7:AL$26,25,0)</f>
        <v>#N/A</v>
      </c>
      <c r="Z37" s="178" t="e">
        <f>VLOOKUP(A37,saisie!B$7:AL$26,26,0)</f>
        <v>#N/A</v>
      </c>
      <c r="AA37" s="179" t="e">
        <f>VLOOKUP(A37,saisie!B$7:AL$26,27,0)</f>
        <v>#N/A</v>
      </c>
      <c r="AB37" s="176" t="e">
        <f>VLOOKUP(A37,saisie!B$7:AL$26,28,0)</f>
        <v>#N/A</v>
      </c>
      <c r="AC37" s="177" t="e">
        <f>VLOOKUP(A37,saisie!B$7:AL$26,29,0)</f>
        <v>#N/A</v>
      </c>
      <c r="AD37" s="177" t="e">
        <f>VLOOKUP(A37,saisie!B$7:AL$26,30,0)</f>
        <v>#N/A</v>
      </c>
      <c r="AE37" s="177" t="e">
        <f>VLOOKUP(A37,saisie!B$7:AL$26,31,0)</f>
        <v>#N/A</v>
      </c>
      <c r="AF37" s="178" t="e">
        <f>VLOOKUP(A37,saisie!B$7:AL$26,32,0)</f>
        <v>#N/A</v>
      </c>
      <c r="AG37" s="179" t="e">
        <f>VLOOKUP(A37,saisie!B$7:AL$26,33,0)</f>
        <v>#N/A</v>
      </c>
      <c r="AH37" s="184" t="e">
        <f>VLOOKUP(A37,saisie!B$7:AL$26,34,0)</f>
        <v>#N/A</v>
      </c>
      <c r="AI37" s="180" t="e">
        <f>VLOOKUP(A37,saisie!B$7:AL$26,35,0)</f>
        <v>#N/A</v>
      </c>
      <c r="AJ37" s="181"/>
    </row>
    <row r="38" spans="1:36" s="182" customFormat="1" ht="108.95" customHeight="1">
      <c r="A38" s="183" t="str">
        <f>IF(INFO!B8&gt;31,32,"")</f>
        <v/>
      </c>
      <c r="B38" s="174" t="e">
        <f>VLOOKUP(A38,saisie!B$7:AL$26,2,0)</f>
        <v>#N/A</v>
      </c>
      <c r="C38" s="175" t="e">
        <f>VLOOKUP(A38,saisie!B$7:AL$26,3,0)</f>
        <v>#N/A</v>
      </c>
      <c r="D38" s="176" t="e">
        <f>VLOOKUP(A38,saisie!B$7:AL$26,4,0)</f>
        <v>#N/A</v>
      </c>
      <c r="E38" s="177" t="e">
        <f>VLOOKUP(A38,saisie!B$7:AL$26,5,0)</f>
        <v>#N/A</v>
      </c>
      <c r="F38" s="177" t="e">
        <f>VLOOKUP(A38,saisie!B$7:AL$26,6,0)</f>
        <v>#N/A</v>
      </c>
      <c r="G38" s="177" t="e">
        <f>VLOOKUP(A38,saisie!B$7:AL$26,7,0)</f>
        <v>#N/A</v>
      </c>
      <c r="H38" s="178" t="e">
        <f>VLOOKUP(A38,saisie!B$7:AL$26,8,0)</f>
        <v>#N/A</v>
      </c>
      <c r="I38" s="179" t="e">
        <f>VLOOKUP(A38,saisie!B$7:AL$26,9,0)</f>
        <v>#N/A</v>
      </c>
      <c r="J38" s="176" t="e">
        <f>VLOOKUP(A38,saisie!B$7:AL$26,10,0)</f>
        <v>#N/A</v>
      </c>
      <c r="K38" s="177" t="e">
        <f>VLOOKUP(A38,saisie!B$7:AL$26,11,0)</f>
        <v>#N/A</v>
      </c>
      <c r="L38" s="177" t="e">
        <f>VLOOKUP(A38,saisie!B$7:AL$26,12,0)</f>
        <v>#N/A</v>
      </c>
      <c r="M38" s="177" t="e">
        <f>VLOOKUP(A38,saisie!B$7:AL$26,13,0)</f>
        <v>#N/A</v>
      </c>
      <c r="N38" s="178" t="e">
        <f>VLOOKUP(A38,saisie!B$7:AL$26,14,0)</f>
        <v>#N/A</v>
      </c>
      <c r="O38" s="179" t="e">
        <f>VLOOKUP(A38,saisie!B$7:AL$26,15,0)</f>
        <v>#N/A</v>
      </c>
      <c r="P38" s="176" t="e">
        <f>VLOOKUP(A38,saisie!B$7:AL$26,16,0)</f>
        <v>#N/A</v>
      </c>
      <c r="Q38" s="177" t="e">
        <f>VLOOKUP(A38,saisie!B$7:AL$26,17,0)</f>
        <v>#N/A</v>
      </c>
      <c r="R38" s="177" t="e">
        <f>VLOOKUP(A38,saisie!B$7:AL$26,18,0)</f>
        <v>#N/A</v>
      </c>
      <c r="S38" s="177" t="e">
        <f>VLOOKUP(A38,saisie!B$7:AL$26,19,0)</f>
        <v>#N/A</v>
      </c>
      <c r="T38" s="178" t="e">
        <f>VLOOKUP(A38,saisie!B$7:AL$26,20,0)</f>
        <v>#N/A</v>
      </c>
      <c r="U38" s="179" t="e">
        <f>VLOOKUP(A38,saisie!B$7:AL$26,21,0)</f>
        <v>#N/A</v>
      </c>
      <c r="V38" s="176" t="e">
        <f>VLOOKUP(A38,saisie!B$7:AL$26,22,0)</f>
        <v>#N/A</v>
      </c>
      <c r="W38" s="177" t="e">
        <f>VLOOKUP(A38,saisie!B$7:AL$26,23,0)</f>
        <v>#N/A</v>
      </c>
      <c r="X38" s="177" t="e">
        <f>VLOOKUP(A38,saisie!B$7:AL$26,24,0)</f>
        <v>#N/A</v>
      </c>
      <c r="Y38" s="177" t="e">
        <f>VLOOKUP(A38,saisie!B$7:AL$26,25,0)</f>
        <v>#N/A</v>
      </c>
      <c r="Z38" s="178" t="e">
        <f>VLOOKUP(A38,saisie!B$7:AL$26,26,0)</f>
        <v>#N/A</v>
      </c>
      <c r="AA38" s="179" t="e">
        <f>VLOOKUP(A38,saisie!B$7:AL$26,27,0)</f>
        <v>#N/A</v>
      </c>
      <c r="AB38" s="176" t="e">
        <f>VLOOKUP(A38,saisie!B$7:AL$26,28,0)</f>
        <v>#N/A</v>
      </c>
      <c r="AC38" s="177" t="e">
        <f>VLOOKUP(A38,saisie!B$7:AL$26,29,0)</f>
        <v>#N/A</v>
      </c>
      <c r="AD38" s="177" t="e">
        <f>VLOOKUP(A38,saisie!B$7:AL$26,30,0)</f>
        <v>#N/A</v>
      </c>
      <c r="AE38" s="177" t="e">
        <f>VLOOKUP(A38,saisie!B$7:AL$26,31,0)</f>
        <v>#N/A</v>
      </c>
      <c r="AF38" s="178" t="e">
        <f>VLOOKUP(A38,saisie!B$7:AL$26,32,0)</f>
        <v>#N/A</v>
      </c>
      <c r="AG38" s="179" t="e">
        <f>VLOOKUP(A38,saisie!B$7:AL$26,33,0)</f>
        <v>#N/A</v>
      </c>
      <c r="AH38" s="184" t="e">
        <f>VLOOKUP(A38,saisie!B$7:AL$26,34,0)</f>
        <v>#N/A</v>
      </c>
      <c r="AI38" s="180" t="e">
        <f>VLOOKUP(A38,saisie!B$7:AL$26,35,0)</f>
        <v>#N/A</v>
      </c>
      <c r="AJ38" s="181"/>
    </row>
    <row r="39" spans="1:36" s="182" customFormat="1" ht="108.95" customHeight="1">
      <c r="A39" s="183" t="str">
        <f>IF(INFO!B8&gt;32,33,"")</f>
        <v/>
      </c>
      <c r="B39" s="174" t="e">
        <f>VLOOKUP(A39,saisie!B$7:AL$26,2,0)</f>
        <v>#N/A</v>
      </c>
      <c r="C39" s="175" t="e">
        <f>VLOOKUP(A39,saisie!B$7:AL$26,3,0)</f>
        <v>#N/A</v>
      </c>
      <c r="D39" s="176" t="e">
        <f>VLOOKUP(A39,saisie!B$7:AL$26,4,0)</f>
        <v>#N/A</v>
      </c>
      <c r="E39" s="177" t="e">
        <f>VLOOKUP(A39,saisie!B$7:AL$26,5,0)</f>
        <v>#N/A</v>
      </c>
      <c r="F39" s="177" t="e">
        <f>VLOOKUP(A39,saisie!B$7:AL$26,6,0)</f>
        <v>#N/A</v>
      </c>
      <c r="G39" s="177" t="e">
        <f>VLOOKUP(A39,saisie!B$7:AL$26,7,0)</f>
        <v>#N/A</v>
      </c>
      <c r="H39" s="178" t="e">
        <f>VLOOKUP(A39,saisie!B$7:AL$26,8,0)</f>
        <v>#N/A</v>
      </c>
      <c r="I39" s="179" t="e">
        <f>VLOOKUP(A39,saisie!B$7:AL$26,9,0)</f>
        <v>#N/A</v>
      </c>
      <c r="J39" s="176" t="e">
        <f>VLOOKUP(A39,saisie!B$7:AL$26,10,0)</f>
        <v>#N/A</v>
      </c>
      <c r="K39" s="177" t="e">
        <f>VLOOKUP(A39,saisie!B$7:AL$26,11,0)</f>
        <v>#N/A</v>
      </c>
      <c r="L39" s="177" t="e">
        <f>VLOOKUP(A39,saisie!B$7:AL$26,12,0)</f>
        <v>#N/A</v>
      </c>
      <c r="M39" s="177" t="e">
        <f>VLOOKUP(A39,saisie!B$7:AL$26,13,0)</f>
        <v>#N/A</v>
      </c>
      <c r="N39" s="178" t="e">
        <f>VLOOKUP(A39,saisie!B$7:AL$26,14,0)</f>
        <v>#N/A</v>
      </c>
      <c r="O39" s="179" t="e">
        <f>VLOOKUP(A39,saisie!B$7:AL$26,15,0)</f>
        <v>#N/A</v>
      </c>
      <c r="P39" s="176" t="e">
        <f>VLOOKUP(A39,saisie!B$7:AL$26,16,0)</f>
        <v>#N/A</v>
      </c>
      <c r="Q39" s="177" t="e">
        <f>VLOOKUP(A39,saisie!B$7:AL$26,17,0)</f>
        <v>#N/A</v>
      </c>
      <c r="R39" s="177" t="e">
        <f>VLOOKUP(A39,saisie!B$7:AL$26,18,0)</f>
        <v>#N/A</v>
      </c>
      <c r="S39" s="177" t="e">
        <f>VLOOKUP(A39,saisie!B$7:AL$26,19,0)</f>
        <v>#N/A</v>
      </c>
      <c r="T39" s="178" t="e">
        <f>VLOOKUP(A39,saisie!B$7:AL$26,20,0)</f>
        <v>#N/A</v>
      </c>
      <c r="U39" s="179" t="e">
        <f>VLOOKUP(A39,saisie!B$7:AL$26,21,0)</f>
        <v>#N/A</v>
      </c>
      <c r="V39" s="176" t="e">
        <f>VLOOKUP(A39,saisie!B$7:AL$26,22,0)</f>
        <v>#N/A</v>
      </c>
      <c r="W39" s="177" t="e">
        <f>VLOOKUP(A39,saisie!B$7:AL$26,23,0)</f>
        <v>#N/A</v>
      </c>
      <c r="X39" s="177" t="e">
        <f>VLOOKUP(A39,saisie!B$7:AL$26,24,0)</f>
        <v>#N/A</v>
      </c>
      <c r="Y39" s="177" t="e">
        <f>VLOOKUP(A39,saisie!B$7:AL$26,25,0)</f>
        <v>#N/A</v>
      </c>
      <c r="Z39" s="178" t="e">
        <f>VLOOKUP(A39,saisie!B$7:AL$26,26,0)</f>
        <v>#N/A</v>
      </c>
      <c r="AA39" s="179" t="e">
        <f>VLOOKUP(A39,saisie!B$7:AL$26,27,0)</f>
        <v>#N/A</v>
      </c>
      <c r="AB39" s="176" t="e">
        <f>VLOOKUP(A39,saisie!B$7:AL$26,28,0)</f>
        <v>#N/A</v>
      </c>
      <c r="AC39" s="177" t="e">
        <f>VLOOKUP(A39,saisie!B$7:AL$26,29,0)</f>
        <v>#N/A</v>
      </c>
      <c r="AD39" s="177" t="e">
        <f>VLOOKUP(A39,saisie!B$7:AL$26,30,0)</f>
        <v>#N/A</v>
      </c>
      <c r="AE39" s="177" t="e">
        <f>VLOOKUP(A39,saisie!B$7:AL$26,31,0)</f>
        <v>#N/A</v>
      </c>
      <c r="AF39" s="178" t="e">
        <f>VLOOKUP(A39,saisie!B$7:AL$26,32,0)</f>
        <v>#N/A</v>
      </c>
      <c r="AG39" s="179" t="e">
        <f>VLOOKUP(A39,saisie!B$7:AL$26,33,0)</f>
        <v>#N/A</v>
      </c>
      <c r="AH39" s="184" t="e">
        <f>VLOOKUP(A39,saisie!B$7:AL$26,34,0)</f>
        <v>#N/A</v>
      </c>
      <c r="AI39" s="180" t="e">
        <f>VLOOKUP(A39,saisie!B$7:AL$26,35,0)</f>
        <v>#N/A</v>
      </c>
      <c r="AJ39" s="181"/>
    </row>
    <row r="40" spans="1:36" s="182" customFormat="1" ht="108.95" customHeight="1">
      <c r="A40" s="183" t="str">
        <f>IF(INFO!B8&gt;33,34,"")</f>
        <v/>
      </c>
      <c r="B40" s="174" t="e">
        <f>VLOOKUP(A40,saisie!B$7:AL$26,2,0)</f>
        <v>#N/A</v>
      </c>
      <c r="C40" s="175" t="e">
        <f>VLOOKUP(A40,saisie!B$7:AL$26,3,0)</f>
        <v>#N/A</v>
      </c>
      <c r="D40" s="176" t="e">
        <f>VLOOKUP(A40,saisie!B$7:AL$26,4,0)</f>
        <v>#N/A</v>
      </c>
      <c r="E40" s="177" t="e">
        <f>VLOOKUP(A40,saisie!B$7:AL$26,5,0)</f>
        <v>#N/A</v>
      </c>
      <c r="F40" s="177" t="e">
        <f>VLOOKUP(A40,saisie!B$7:AL$26,6,0)</f>
        <v>#N/A</v>
      </c>
      <c r="G40" s="177" t="e">
        <f>VLOOKUP(A40,saisie!B$7:AL$26,7,0)</f>
        <v>#N/A</v>
      </c>
      <c r="H40" s="178" t="e">
        <f>VLOOKUP(A40,saisie!B$7:AL$26,8,0)</f>
        <v>#N/A</v>
      </c>
      <c r="I40" s="179" t="e">
        <f>VLOOKUP(A40,saisie!B$7:AL$26,9,0)</f>
        <v>#N/A</v>
      </c>
      <c r="J40" s="176" t="e">
        <f>VLOOKUP(A40,saisie!B$7:AL$26,10,0)</f>
        <v>#N/A</v>
      </c>
      <c r="K40" s="177" t="e">
        <f>VLOOKUP(A40,saisie!B$7:AL$26,11,0)</f>
        <v>#N/A</v>
      </c>
      <c r="L40" s="177" t="e">
        <f>VLOOKUP(A40,saisie!B$7:AL$26,12,0)</f>
        <v>#N/A</v>
      </c>
      <c r="M40" s="177" t="e">
        <f>VLOOKUP(A40,saisie!B$7:AL$26,13,0)</f>
        <v>#N/A</v>
      </c>
      <c r="N40" s="178" t="e">
        <f>VLOOKUP(A40,saisie!B$7:AL$26,14,0)</f>
        <v>#N/A</v>
      </c>
      <c r="O40" s="179" t="e">
        <f>VLOOKUP(A40,saisie!B$7:AL$26,15,0)</f>
        <v>#N/A</v>
      </c>
      <c r="P40" s="176" t="e">
        <f>VLOOKUP(A40,saisie!B$7:AL$26,16,0)</f>
        <v>#N/A</v>
      </c>
      <c r="Q40" s="177" t="e">
        <f>VLOOKUP(A40,saisie!B$7:AL$26,17,0)</f>
        <v>#N/A</v>
      </c>
      <c r="R40" s="177" t="e">
        <f>VLOOKUP(A40,saisie!B$7:AL$26,18,0)</f>
        <v>#N/A</v>
      </c>
      <c r="S40" s="177" t="e">
        <f>VLOOKUP(A40,saisie!B$7:AL$26,19,0)</f>
        <v>#N/A</v>
      </c>
      <c r="T40" s="178" t="e">
        <f>VLOOKUP(A40,saisie!B$7:AL$26,20,0)</f>
        <v>#N/A</v>
      </c>
      <c r="U40" s="179" t="e">
        <f>VLOOKUP(A40,saisie!B$7:AL$26,21,0)</f>
        <v>#N/A</v>
      </c>
      <c r="V40" s="176" t="e">
        <f>VLOOKUP(A40,saisie!B$7:AL$26,22,0)</f>
        <v>#N/A</v>
      </c>
      <c r="W40" s="177" t="e">
        <f>VLOOKUP(A40,saisie!B$7:AL$26,23,0)</f>
        <v>#N/A</v>
      </c>
      <c r="X40" s="177" t="e">
        <f>VLOOKUP(A40,saisie!B$7:AL$26,24,0)</f>
        <v>#N/A</v>
      </c>
      <c r="Y40" s="177" t="e">
        <f>VLOOKUP(A40,saisie!B$7:AL$26,25,0)</f>
        <v>#N/A</v>
      </c>
      <c r="Z40" s="178" t="e">
        <f>VLOOKUP(A40,saisie!B$7:AL$26,26,0)</f>
        <v>#N/A</v>
      </c>
      <c r="AA40" s="179" t="e">
        <f>VLOOKUP(A40,saisie!B$7:AL$26,27,0)</f>
        <v>#N/A</v>
      </c>
      <c r="AB40" s="176" t="e">
        <f>VLOOKUP(A40,saisie!B$7:AL$26,28,0)</f>
        <v>#N/A</v>
      </c>
      <c r="AC40" s="177" t="e">
        <f>VLOOKUP(A40,saisie!B$7:AL$26,29,0)</f>
        <v>#N/A</v>
      </c>
      <c r="AD40" s="177" t="e">
        <f>VLOOKUP(A40,saisie!B$7:AL$26,30,0)</f>
        <v>#N/A</v>
      </c>
      <c r="AE40" s="177" t="e">
        <f>VLOOKUP(A40,saisie!B$7:AL$26,31,0)</f>
        <v>#N/A</v>
      </c>
      <c r="AF40" s="178" t="e">
        <f>VLOOKUP(A40,saisie!B$7:AL$26,32,0)</f>
        <v>#N/A</v>
      </c>
      <c r="AG40" s="179" t="e">
        <f>VLOOKUP(A40,saisie!B$7:AL$26,33,0)</f>
        <v>#N/A</v>
      </c>
      <c r="AH40" s="184" t="e">
        <f>VLOOKUP(A40,saisie!B$7:AL$26,34,0)</f>
        <v>#N/A</v>
      </c>
      <c r="AI40" s="180" t="e">
        <f>VLOOKUP(A40,saisie!B$7:AL$26,35,0)</f>
        <v>#N/A</v>
      </c>
      <c r="AJ40" s="181"/>
    </row>
    <row r="41" spans="1:36" s="182" customFormat="1" ht="108.95" customHeight="1">
      <c r="A41" s="183" t="str">
        <f>IF(INFO!B8&gt;34,35,"")</f>
        <v/>
      </c>
      <c r="B41" s="174" t="e">
        <f>VLOOKUP(A41,saisie!B$7:AL$26,2,0)</f>
        <v>#N/A</v>
      </c>
      <c r="C41" s="175" t="e">
        <f>VLOOKUP(A41,saisie!B$7:AL$26,3,0)</f>
        <v>#N/A</v>
      </c>
      <c r="D41" s="176" t="e">
        <f>VLOOKUP(A41,saisie!B$7:AL$26,4,0)</f>
        <v>#N/A</v>
      </c>
      <c r="E41" s="177" t="e">
        <f>VLOOKUP(A41,saisie!B$7:AL$26,5,0)</f>
        <v>#N/A</v>
      </c>
      <c r="F41" s="177" t="e">
        <f>VLOOKUP(A41,saisie!B$7:AL$26,6,0)</f>
        <v>#N/A</v>
      </c>
      <c r="G41" s="177" t="e">
        <f>VLOOKUP(A41,saisie!B$7:AL$26,7,0)</f>
        <v>#N/A</v>
      </c>
      <c r="H41" s="178" t="e">
        <f>VLOOKUP(A41,saisie!B$7:AL$26,8,0)</f>
        <v>#N/A</v>
      </c>
      <c r="I41" s="179" t="e">
        <f>VLOOKUP(A41,saisie!B$7:AL$26,9,0)</f>
        <v>#N/A</v>
      </c>
      <c r="J41" s="176" t="e">
        <f>VLOOKUP(A41,saisie!B$7:AL$26,10,0)</f>
        <v>#N/A</v>
      </c>
      <c r="K41" s="177" t="e">
        <f>VLOOKUP(A41,saisie!B$7:AL$26,11,0)</f>
        <v>#N/A</v>
      </c>
      <c r="L41" s="177" t="e">
        <f>VLOOKUP(A41,saisie!B$7:AL$26,12,0)</f>
        <v>#N/A</v>
      </c>
      <c r="M41" s="177" t="e">
        <f>VLOOKUP(A41,saisie!B$7:AL$26,13,0)</f>
        <v>#N/A</v>
      </c>
      <c r="N41" s="178" t="e">
        <f>VLOOKUP(A41,saisie!B$7:AL$26,14,0)</f>
        <v>#N/A</v>
      </c>
      <c r="O41" s="179" t="e">
        <f>VLOOKUP(A41,saisie!B$7:AL$26,15,0)</f>
        <v>#N/A</v>
      </c>
      <c r="P41" s="176" t="e">
        <f>VLOOKUP(A41,saisie!B$7:AL$26,16,0)</f>
        <v>#N/A</v>
      </c>
      <c r="Q41" s="177" t="e">
        <f>VLOOKUP(A41,saisie!B$7:AL$26,17,0)</f>
        <v>#N/A</v>
      </c>
      <c r="R41" s="177" t="e">
        <f>VLOOKUP(A41,saisie!B$7:AL$26,18,0)</f>
        <v>#N/A</v>
      </c>
      <c r="S41" s="177" t="e">
        <f>VLOOKUP(A41,saisie!B$7:AL$26,19,0)</f>
        <v>#N/A</v>
      </c>
      <c r="T41" s="178" t="e">
        <f>VLOOKUP(A41,saisie!B$7:AL$26,20,0)</f>
        <v>#N/A</v>
      </c>
      <c r="U41" s="179" t="e">
        <f>VLOOKUP(A41,saisie!B$7:AL$26,21,0)</f>
        <v>#N/A</v>
      </c>
      <c r="V41" s="176" t="e">
        <f>VLOOKUP(A41,saisie!B$7:AL$26,22,0)</f>
        <v>#N/A</v>
      </c>
      <c r="W41" s="177" t="e">
        <f>VLOOKUP(A41,saisie!B$7:AL$26,23,0)</f>
        <v>#N/A</v>
      </c>
      <c r="X41" s="177" t="e">
        <f>VLOOKUP(A41,saisie!B$7:AL$26,24,0)</f>
        <v>#N/A</v>
      </c>
      <c r="Y41" s="177" t="e">
        <f>VLOOKUP(A41,saisie!B$7:AL$26,25,0)</f>
        <v>#N/A</v>
      </c>
      <c r="Z41" s="178" t="e">
        <f>VLOOKUP(A41,saisie!B$7:AL$26,26,0)</f>
        <v>#N/A</v>
      </c>
      <c r="AA41" s="179" t="e">
        <f>VLOOKUP(A41,saisie!B$7:AL$26,27,0)</f>
        <v>#N/A</v>
      </c>
      <c r="AB41" s="176" t="e">
        <f>VLOOKUP(A41,saisie!B$7:AL$26,28,0)</f>
        <v>#N/A</v>
      </c>
      <c r="AC41" s="177" t="e">
        <f>VLOOKUP(A41,saisie!B$7:AL$26,29,0)</f>
        <v>#N/A</v>
      </c>
      <c r="AD41" s="177" t="e">
        <f>VLOOKUP(A41,saisie!B$7:AL$26,30,0)</f>
        <v>#N/A</v>
      </c>
      <c r="AE41" s="177" t="e">
        <f>VLOOKUP(A41,saisie!B$7:AL$26,31,0)</f>
        <v>#N/A</v>
      </c>
      <c r="AF41" s="178" t="e">
        <f>VLOOKUP(A41,saisie!B$7:AL$26,32,0)</f>
        <v>#N/A</v>
      </c>
      <c r="AG41" s="179" t="e">
        <f>VLOOKUP(A41,saisie!B$7:AL$26,33,0)</f>
        <v>#N/A</v>
      </c>
      <c r="AH41" s="184" t="e">
        <f>VLOOKUP(A41,saisie!B$7:AL$26,34,0)</f>
        <v>#N/A</v>
      </c>
      <c r="AI41" s="180" t="e">
        <f>VLOOKUP(A41,saisie!B$7:AL$26,35,0)</f>
        <v>#N/A</v>
      </c>
      <c r="AJ41" s="181"/>
    </row>
    <row r="42" spans="1:36" s="182" customFormat="1" ht="108.95" customHeight="1">
      <c r="A42" s="183" t="str">
        <f>IF(INFO!B8&gt;35,36,"")</f>
        <v/>
      </c>
      <c r="B42" s="174" t="e">
        <f>VLOOKUP(A42,saisie!B$7:AL$26,2,0)</f>
        <v>#N/A</v>
      </c>
      <c r="C42" s="175" t="e">
        <f>VLOOKUP(A42,saisie!B$7:AL$26,3,0)</f>
        <v>#N/A</v>
      </c>
      <c r="D42" s="176" t="e">
        <f>VLOOKUP(A42,saisie!B$7:AL$26,4,0)</f>
        <v>#N/A</v>
      </c>
      <c r="E42" s="177" t="e">
        <f>VLOOKUP(A42,saisie!B$7:AL$26,5,0)</f>
        <v>#N/A</v>
      </c>
      <c r="F42" s="177" t="e">
        <f>VLOOKUP(A42,saisie!B$7:AL$26,6,0)</f>
        <v>#N/A</v>
      </c>
      <c r="G42" s="177" t="e">
        <f>VLOOKUP(A42,saisie!B$7:AL$26,7,0)</f>
        <v>#N/A</v>
      </c>
      <c r="H42" s="178" t="e">
        <f>VLOOKUP(A42,saisie!B$7:AL$26,8,0)</f>
        <v>#N/A</v>
      </c>
      <c r="I42" s="179" t="e">
        <f>VLOOKUP(A42,saisie!B$7:AL$26,9,0)</f>
        <v>#N/A</v>
      </c>
      <c r="J42" s="176" t="e">
        <f>VLOOKUP(A42,saisie!B$7:AL$26,10,0)</f>
        <v>#N/A</v>
      </c>
      <c r="K42" s="177" t="e">
        <f>VLOOKUP(A42,saisie!B$7:AL$26,11,0)</f>
        <v>#N/A</v>
      </c>
      <c r="L42" s="177" t="e">
        <f>VLOOKUP(A42,saisie!B$7:AL$26,12,0)</f>
        <v>#N/A</v>
      </c>
      <c r="M42" s="177" t="e">
        <f>VLOOKUP(A42,saisie!B$7:AL$26,13,0)</f>
        <v>#N/A</v>
      </c>
      <c r="N42" s="178" t="e">
        <f>VLOOKUP(A42,saisie!B$7:AL$26,14,0)</f>
        <v>#N/A</v>
      </c>
      <c r="O42" s="179" t="e">
        <f>VLOOKUP(A42,saisie!B$7:AL$26,15,0)</f>
        <v>#N/A</v>
      </c>
      <c r="P42" s="176" t="e">
        <f>VLOOKUP(A42,saisie!B$7:AL$26,16,0)</f>
        <v>#N/A</v>
      </c>
      <c r="Q42" s="177" t="e">
        <f>VLOOKUP(A42,saisie!B$7:AL$26,17,0)</f>
        <v>#N/A</v>
      </c>
      <c r="R42" s="177" t="e">
        <f>VLOOKUP(A42,saisie!B$7:AL$26,18,0)</f>
        <v>#N/A</v>
      </c>
      <c r="S42" s="177" t="e">
        <f>VLOOKUP(A42,saisie!B$7:AL$26,19,0)</f>
        <v>#N/A</v>
      </c>
      <c r="T42" s="178" t="e">
        <f>VLOOKUP(A42,saisie!B$7:AL$26,20,0)</f>
        <v>#N/A</v>
      </c>
      <c r="U42" s="179" t="e">
        <f>VLOOKUP(A42,saisie!B$7:AL$26,21,0)</f>
        <v>#N/A</v>
      </c>
      <c r="V42" s="176" t="e">
        <f>VLOOKUP(A42,saisie!B$7:AL$26,22,0)</f>
        <v>#N/A</v>
      </c>
      <c r="W42" s="177" t="e">
        <f>VLOOKUP(A42,saisie!B$7:AL$26,23,0)</f>
        <v>#N/A</v>
      </c>
      <c r="X42" s="177" t="e">
        <f>VLOOKUP(A42,saisie!B$7:AL$26,24,0)</f>
        <v>#N/A</v>
      </c>
      <c r="Y42" s="177" t="e">
        <f>VLOOKUP(A42,saisie!B$7:AL$26,25,0)</f>
        <v>#N/A</v>
      </c>
      <c r="Z42" s="178" t="e">
        <f>VLOOKUP(A42,saisie!B$7:AL$26,26,0)</f>
        <v>#N/A</v>
      </c>
      <c r="AA42" s="179" t="e">
        <f>VLOOKUP(A42,saisie!B$7:AL$26,27,0)</f>
        <v>#N/A</v>
      </c>
      <c r="AB42" s="176" t="e">
        <f>VLOOKUP(A42,saisie!B$7:AL$26,28,0)</f>
        <v>#N/A</v>
      </c>
      <c r="AC42" s="177" t="e">
        <f>VLOOKUP(A42,saisie!B$7:AL$26,29,0)</f>
        <v>#N/A</v>
      </c>
      <c r="AD42" s="177" t="e">
        <f>VLOOKUP(A42,saisie!B$7:AL$26,30,0)</f>
        <v>#N/A</v>
      </c>
      <c r="AE42" s="177" t="e">
        <f>VLOOKUP(A42,saisie!B$7:AL$26,31,0)</f>
        <v>#N/A</v>
      </c>
      <c r="AF42" s="178" t="e">
        <f>VLOOKUP(A42,saisie!B$7:AL$26,32,0)</f>
        <v>#N/A</v>
      </c>
      <c r="AG42" s="179" t="e">
        <f>VLOOKUP(A42,saisie!B$7:AL$26,33,0)</f>
        <v>#N/A</v>
      </c>
      <c r="AH42" s="184" t="e">
        <f>VLOOKUP(A42,saisie!B$7:AL$26,34,0)</f>
        <v>#N/A</v>
      </c>
      <c r="AI42" s="180" t="e">
        <f>VLOOKUP(A42,saisie!B$7:AL$26,35,0)</f>
        <v>#N/A</v>
      </c>
      <c r="AJ42" s="181"/>
    </row>
    <row r="43" spans="1:36" s="182" customFormat="1" ht="108.95" customHeight="1">
      <c r="A43" s="183" t="str">
        <f>IF(INFO!B8&gt;36,37,"")</f>
        <v/>
      </c>
      <c r="B43" s="174" t="e">
        <f>VLOOKUP(A43,saisie!B$7:AL$26,2,0)</f>
        <v>#N/A</v>
      </c>
      <c r="C43" s="175" t="e">
        <f>VLOOKUP(A43,saisie!B$7:AL$26,3,0)</f>
        <v>#N/A</v>
      </c>
      <c r="D43" s="176" t="e">
        <f>VLOOKUP(A43,saisie!B$7:AL$26,4,0)</f>
        <v>#N/A</v>
      </c>
      <c r="E43" s="177" t="e">
        <f>VLOOKUP(A43,saisie!B$7:AL$26,5,0)</f>
        <v>#N/A</v>
      </c>
      <c r="F43" s="177" t="e">
        <f>VLOOKUP(A43,saisie!B$7:AL$26,6,0)</f>
        <v>#N/A</v>
      </c>
      <c r="G43" s="177" t="e">
        <f>VLOOKUP(A43,saisie!B$7:AL$26,7,0)</f>
        <v>#N/A</v>
      </c>
      <c r="H43" s="178" t="e">
        <f>VLOOKUP(A43,saisie!B$7:AL$26,8,0)</f>
        <v>#N/A</v>
      </c>
      <c r="I43" s="179" t="e">
        <f>VLOOKUP(A43,saisie!B$7:AL$26,9,0)</f>
        <v>#N/A</v>
      </c>
      <c r="J43" s="176" t="e">
        <f>VLOOKUP(A43,saisie!B$7:AL$26,10,0)</f>
        <v>#N/A</v>
      </c>
      <c r="K43" s="177" t="e">
        <f>VLOOKUP(A43,saisie!B$7:AL$26,11,0)</f>
        <v>#N/A</v>
      </c>
      <c r="L43" s="177" t="e">
        <f>VLOOKUP(A43,saisie!B$7:AL$26,12,0)</f>
        <v>#N/A</v>
      </c>
      <c r="M43" s="177" t="e">
        <f>VLOOKUP(A43,saisie!B$7:AL$26,13,0)</f>
        <v>#N/A</v>
      </c>
      <c r="N43" s="178" t="e">
        <f>VLOOKUP(A43,saisie!B$7:AL$26,14,0)</f>
        <v>#N/A</v>
      </c>
      <c r="O43" s="179" t="e">
        <f>VLOOKUP(A43,saisie!B$7:AL$26,15,0)</f>
        <v>#N/A</v>
      </c>
      <c r="P43" s="176" t="e">
        <f>VLOOKUP(A43,saisie!B$7:AL$26,16,0)</f>
        <v>#N/A</v>
      </c>
      <c r="Q43" s="177" t="e">
        <f>VLOOKUP(A43,saisie!B$7:AL$26,17,0)</f>
        <v>#N/A</v>
      </c>
      <c r="R43" s="177" t="e">
        <f>VLOOKUP(A43,saisie!B$7:AL$26,18,0)</f>
        <v>#N/A</v>
      </c>
      <c r="S43" s="177" t="e">
        <f>VLOOKUP(A43,saisie!B$7:AL$26,19,0)</f>
        <v>#N/A</v>
      </c>
      <c r="T43" s="178" t="e">
        <f>VLOOKUP(A43,saisie!B$7:AL$26,20,0)</f>
        <v>#N/A</v>
      </c>
      <c r="U43" s="179" t="e">
        <f>VLOOKUP(A43,saisie!B$7:AL$26,21,0)</f>
        <v>#N/A</v>
      </c>
      <c r="V43" s="176" t="e">
        <f>VLOOKUP(A43,saisie!B$7:AL$26,22,0)</f>
        <v>#N/A</v>
      </c>
      <c r="W43" s="177" t="e">
        <f>VLOOKUP(A43,saisie!B$7:AL$26,23,0)</f>
        <v>#N/A</v>
      </c>
      <c r="X43" s="177" t="e">
        <f>VLOOKUP(A43,saisie!B$7:AL$26,24,0)</f>
        <v>#N/A</v>
      </c>
      <c r="Y43" s="177" t="e">
        <f>VLOOKUP(A43,saisie!B$7:AL$26,25,0)</f>
        <v>#N/A</v>
      </c>
      <c r="Z43" s="178" t="e">
        <f>VLOOKUP(A43,saisie!B$7:AL$26,26,0)</f>
        <v>#N/A</v>
      </c>
      <c r="AA43" s="179" t="e">
        <f>VLOOKUP(A43,saisie!B$7:AL$26,27,0)</f>
        <v>#N/A</v>
      </c>
      <c r="AB43" s="176" t="e">
        <f>VLOOKUP(A43,saisie!B$7:AL$26,28,0)</f>
        <v>#N/A</v>
      </c>
      <c r="AC43" s="177" t="e">
        <f>VLOOKUP(A43,saisie!B$7:AL$26,29,0)</f>
        <v>#N/A</v>
      </c>
      <c r="AD43" s="177" t="e">
        <f>VLOOKUP(A43,saisie!B$7:AL$26,30,0)</f>
        <v>#N/A</v>
      </c>
      <c r="AE43" s="177" t="e">
        <f>VLOOKUP(A43,saisie!B$7:AL$26,31,0)</f>
        <v>#N/A</v>
      </c>
      <c r="AF43" s="178" t="e">
        <f>VLOOKUP(A43,saisie!B$7:AL$26,32,0)</f>
        <v>#N/A</v>
      </c>
      <c r="AG43" s="179" t="e">
        <f>VLOOKUP(A43,saisie!B$7:AL$26,33,0)</f>
        <v>#N/A</v>
      </c>
      <c r="AH43" s="184" t="e">
        <f>VLOOKUP(A43,saisie!B$7:AL$26,34,0)</f>
        <v>#N/A</v>
      </c>
      <c r="AI43" s="180" t="e">
        <f>VLOOKUP(A43,saisie!B$7:AL$26,35,0)</f>
        <v>#N/A</v>
      </c>
      <c r="AJ43" s="181"/>
    </row>
    <row r="44" spans="1:36" s="182" customFormat="1" ht="108.95" customHeight="1">
      <c r="A44" s="183" t="str">
        <f>IF(INFO!B8&gt;37,38,"")</f>
        <v/>
      </c>
      <c r="B44" s="174" t="e">
        <f>VLOOKUP(A44,saisie!B$7:AL$26,2,0)</f>
        <v>#N/A</v>
      </c>
      <c r="C44" s="175" t="e">
        <f>VLOOKUP(A44,saisie!B$7:AL$26,3,0)</f>
        <v>#N/A</v>
      </c>
      <c r="D44" s="176" t="e">
        <f>VLOOKUP(A44,saisie!B$7:AL$26,4,0)</f>
        <v>#N/A</v>
      </c>
      <c r="E44" s="177" t="e">
        <f>VLOOKUP(A44,saisie!B$7:AL$26,5,0)</f>
        <v>#N/A</v>
      </c>
      <c r="F44" s="177" t="e">
        <f>VLOOKUP(A44,saisie!B$7:AL$26,6,0)</f>
        <v>#N/A</v>
      </c>
      <c r="G44" s="177" t="e">
        <f>VLOOKUP(A44,saisie!B$7:AL$26,7,0)</f>
        <v>#N/A</v>
      </c>
      <c r="H44" s="178" t="e">
        <f>VLOOKUP(A44,saisie!B$7:AL$26,8,0)</f>
        <v>#N/A</v>
      </c>
      <c r="I44" s="179" t="e">
        <f>VLOOKUP(A44,saisie!B$7:AL$26,9,0)</f>
        <v>#N/A</v>
      </c>
      <c r="J44" s="176" t="e">
        <f>VLOOKUP(A44,saisie!B$7:AL$26,10,0)</f>
        <v>#N/A</v>
      </c>
      <c r="K44" s="177" t="e">
        <f>VLOOKUP(A44,saisie!B$7:AL$26,11,0)</f>
        <v>#N/A</v>
      </c>
      <c r="L44" s="177" t="e">
        <f>VLOOKUP(A44,saisie!B$7:AL$26,12,0)</f>
        <v>#N/A</v>
      </c>
      <c r="M44" s="177" t="e">
        <f>VLOOKUP(A44,saisie!B$7:AL$26,13,0)</f>
        <v>#N/A</v>
      </c>
      <c r="N44" s="178" t="e">
        <f>VLOOKUP(A44,saisie!B$7:AL$26,14,0)</f>
        <v>#N/A</v>
      </c>
      <c r="O44" s="179" t="e">
        <f>VLOOKUP(A44,saisie!B$7:AL$26,15,0)</f>
        <v>#N/A</v>
      </c>
      <c r="P44" s="176" t="e">
        <f>VLOOKUP(A44,saisie!B$7:AL$26,16,0)</f>
        <v>#N/A</v>
      </c>
      <c r="Q44" s="177" t="e">
        <f>VLOOKUP(A44,saisie!B$7:AL$26,17,0)</f>
        <v>#N/A</v>
      </c>
      <c r="R44" s="177" t="e">
        <f>VLOOKUP(A44,saisie!B$7:AL$26,18,0)</f>
        <v>#N/A</v>
      </c>
      <c r="S44" s="177" t="e">
        <f>VLOOKUP(A44,saisie!B$7:AL$26,19,0)</f>
        <v>#N/A</v>
      </c>
      <c r="T44" s="178" t="e">
        <f>VLOOKUP(A44,saisie!B$7:AL$26,20,0)</f>
        <v>#N/A</v>
      </c>
      <c r="U44" s="179" t="e">
        <f>VLOOKUP(A44,saisie!B$7:AL$26,21,0)</f>
        <v>#N/A</v>
      </c>
      <c r="V44" s="176" t="e">
        <f>VLOOKUP(A44,saisie!B$7:AL$26,22,0)</f>
        <v>#N/A</v>
      </c>
      <c r="W44" s="177" t="e">
        <f>VLOOKUP(A44,saisie!B$7:AL$26,23,0)</f>
        <v>#N/A</v>
      </c>
      <c r="X44" s="177" t="e">
        <f>VLOOKUP(A44,saisie!B$7:AL$26,24,0)</f>
        <v>#N/A</v>
      </c>
      <c r="Y44" s="177" t="e">
        <f>VLOOKUP(A44,saisie!B$7:AL$26,25,0)</f>
        <v>#N/A</v>
      </c>
      <c r="Z44" s="178" t="e">
        <f>VLOOKUP(A44,saisie!B$7:AL$26,26,0)</f>
        <v>#N/A</v>
      </c>
      <c r="AA44" s="179" t="e">
        <f>VLOOKUP(A44,saisie!B$7:AL$26,27,0)</f>
        <v>#N/A</v>
      </c>
      <c r="AB44" s="176" t="e">
        <f>VLOOKUP(A44,saisie!B$7:AL$26,28,0)</f>
        <v>#N/A</v>
      </c>
      <c r="AC44" s="177" t="e">
        <f>VLOOKUP(A44,saisie!B$7:AL$26,29,0)</f>
        <v>#N/A</v>
      </c>
      <c r="AD44" s="177" t="e">
        <f>VLOOKUP(A44,saisie!B$7:AL$26,30,0)</f>
        <v>#N/A</v>
      </c>
      <c r="AE44" s="177" t="e">
        <f>VLOOKUP(A44,saisie!B$7:AL$26,31,0)</f>
        <v>#N/A</v>
      </c>
      <c r="AF44" s="178" t="e">
        <f>VLOOKUP(A44,saisie!B$7:AL$26,32,0)</f>
        <v>#N/A</v>
      </c>
      <c r="AG44" s="179" t="e">
        <f>VLOOKUP(A44,saisie!B$7:AL$26,33,0)</f>
        <v>#N/A</v>
      </c>
      <c r="AH44" s="184" t="e">
        <f>VLOOKUP(A44,saisie!B$7:AL$26,34,0)</f>
        <v>#N/A</v>
      </c>
      <c r="AI44" s="180" t="e">
        <f>VLOOKUP(A44,saisie!B$7:AL$26,35,0)</f>
        <v>#N/A</v>
      </c>
      <c r="AJ44" s="181"/>
    </row>
    <row r="45" spans="1:36" s="182" customFormat="1" ht="108.95" customHeight="1">
      <c r="A45" s="183" t="str">
        <f>IF(INFO!B8&gt;38,39,"")</f>
        <v/>
      </c>
      <c r="B45" s="174" t="e">
        <f>VLOOKUP(A45,saisie!B$7:AL$26,2,0)</f>
        <v>#N/A</v>
      </c>
      <c r="C45" s="175" t="e">
        <f>VLOOKUP(A45,saisie!B$7:AL$26,3,0)</f>
        <v>#N/A</v>
      </c>
      <c r="D45" s="176" t="e">
        <f>VLOOKUP(A45,saisie!B$7:AL$26,4,0)</f>
        <v>#N/A</v>
      </c>
      <c r="E45" s="177" t="e">
        <f>VLOOKUP(A45,saisie!B$7:AL$26,5,0)</f>
        <v>#N/A</v>
      </c>
      <c r="F45" s="177" t="e">
        <f>VLOOKUP(A45,saisie!B$7:AL$26,6,0)</f>
        <v>#N/A</v>
      </c>
      <c r="G45" s="177" t="e">
        <f>VLOOKUP(A45,saisie!B$7:AL$26,7,0)</f>
        <v>#N/A</v>
      </c>
      <c r="H45" s="178" t="e">
        <f>VLOOKUP(A45,saisie!B$7:AL$26,8,0)</f>
        <v>#N/A</v>
      </c>
      <c r="I45" s="179" t="e">
        <f>VLOOKUP(A45,saisie!B$7:AL$26,9,0)</f>
        <v>#N/A</v>
      </c>
      <c r="J45" s="176" t="e">
        <f>VLOOKUP(A45,saisie!B$7:AL$26,10,0)</f>
        <v>#N/A</v>
      </c>
      <c r="K45" s="177" t="e">
        <f>VLOOKUP(A45,saisie!B$7:AL$26,11,0)</f>
        <v>#N/A</v>
      </c>
      <c r="L45" s="177" t="e">
        <f>VLOOKUP(A45,saisie!B$7:AL$26,12,0)</f>
        <v>#N/A</v>
      </c>
      <c r="M45" s="177" t="e">
        <f>VLOOKUP(A45,saisie!B$7:AL$26,13,0)</f>
        <v>#N/A</v>
      </c>
      <c r="N45" s="178" t="e">
        <f>VLOOKUP(A45,saisie!B$7:AL$26,14,0)</f>
        <v>#N/A</v>
      </c>
      <c r="O45" s="179" t="e">
        <f>VLOOKUP(A45,saisie!B$7:AL$26,15,0)</f>
        <v>#N/A</v>
      </c>
      <c r="P45" s="176" t="e">
        <f>VLOOKUP(A45,saisie!B$7:AL$26,16,0)</f>
        <v>#N/A</v>
      </c>
      <c r="Q45" s="177" t="e">
        <f>VLOOKUP(A45,saisie!B$7:AL$26,17,0)</f>
        <v>#N/A</v>
      </c>
      <c r="R45" s="177" t="e">
        <f>VLOOKUP(A45,saisie!B$7:AL$26,18,0)</f>
        <v>#N/A</v>
      </c>
      <c r="S45" s="177" t="e">
        <f>VLOOKUP(A45,saisie!B$7:AL$26,19,0)</f>
        <v>#N/A</v>
      </c>
      <c r="T45" s="178" t="e">
        <f>VLOOKUP(A45,saisie!B$7:AL$26,20,0)</f>
        <v>#N/A</v>
      </c>
      <c r="U45" s="179" t="e">
        <f>VLOOKUP(A45,saisie!B$7:AL$26,21,0)</f>
        <v>#N/A</v>
      </c>
      <c r="V45" s="176" t="e">
        <f>VLOOKUP(A45,saisie!B$7:AL$26,22,0)</f>
        <v>#N/A</v>
      </c>
      <c r="W45" s="177" t="e">
        <f>VLOOKUP(A45,saisie!B$7:AL$26,23,0)</f>
        <v>#N/A</v>
      </c>
      <c r="X45" s="177" t="e">
        <f>VLOOKUP(A45,saisie!B$7:AL$26,24,0)</f>
        <v>#N/A</v>
      </c>
      <c r="Y45" s="177" t="e">
        <f>VLOOKUP(A45,saisie!B$7:AL$26,25,0)</f>
        <v>#N/A</v>
      </c>
      <c r="Z45" s="178" t="e">
        <f>VLOOKUP(A45,saisie!B$7:AL$26,26,0)</f>
        <v>#N/A</v>
      </c>
      <c r="AA45" s="179" t="e">
        <f>VLOOKUP(A45,saisie!B$7:AL$26,27,0)</f>
        <v>#N/A</v>
      </c>
      <c r="AB45" s="176" t="e">
        <f>VLOOKUP(A45,saisie!B$7:AL$26,28,0)</f>
        <v>#N/A</v>
      </c>
      <c r="AC45" s="177" t="e">
        <f>VLOOKUP(A45,saisie!B$7:AL$26,29,0)</f>
        <v>#N/A</v>
      </c>
      <c r="AD45" s="177" t="e">
        <f>VLOOKUP(A45,saisie!B$7:AL$26,30,0)</f>
        <v>#N/A</v>
      </c>
      <c r="AE45" s="177" t="e">
        <f>VLOOKUP(A45,saisie!B$7:AL$26,31,0)</f>
        <v>#N/A</v>
      </c>
      <c r="AF45" s="178" t="e">
        <f>VLOOKUP(A45,saisie!B$7:AL$26,32,0)</f>
        <v>#N/A</v>
      </c>
      <c r="AG45" s="179" t="e">
        <f>VLOOKUP(A45,saisie!B$7:AL$26,33,0)</f>
        <v>#N/A</v>
      </c>
      <c r="AH45" s="184" t="e">
        <f>VLOOKUP(A45,saisie!B$7:AL$26,34,0)</f>
        <v>#N/A</v>
      </c>
      <c r="AI45" s="180" t="e">
        <f>VLOOKUP(A45,saisie!B$7:AL$26,35,0)</f>
        <v>#N/A</v>
      </c>
      <c r="AJ45" s="181"/>
    </row>
    <row r="46" spans="1:36" s="182" customFormat="1" ht="108.95" customHeight="1" thickBot="1">
      <c r="A46" s="185" t="str">
        <f>IF(INFO!B8&gt;39,40,"")</f>
        <v/>
      </c>
      <c r="B46" s="186" t="e">
        <f>VLOOKUP(A46,saisie!B$7:AL$26,2,0)</f>
        <v>#N/A</v>
      </c>
      <c r="C46" s="187" t="e">
        <f>VLOOKUP(A46,saisie!B$7:AL$26,3,0)</f>
        <v>#N/A</v>
      </c>
      <c r="D46" s="188" t="e">
        <f>VLOOKUP(A46,saisie!B$7:AL$26,4,0)</f>
        <v>#N/A</v>
      </c>
      <c r="E46" s="189" t="e">
        <f>VLOOKUP(A46,saisie!B$7:AL$26,5,0)</f>
        <v>#N/A</v>
      </c>
      <c r="F46" s="189" t="e">
        <f>VLOOKUP(A46,saisie!B$7:AL$26,6,0)</f>
        <v>#N/A</v>
      </c>
      <c r="G46" s="189" t="e">
        <f>VLOOKUP(A46,saisie!B$7:AL$26,7,0)</f>
        <v>#N/A</v>
      </c>
      <c r="H46" s="190" t="e">
        <f>VLOOKUP(A46,saisie!B$7:AL$26,8,0)</f>
        <v>#N/A</v>
      </c>
      <c r="I46" s="191" t="e">
        <f>VLOOKUP(A46,saisie!B$7:AL$26,9,0)</f>
        <v>#N/A</v>
      </c>
      <c r="J46" s="188" t="e">
        <f>VLOOKUP(A46,saisie!B$7:AL$26,10,0)</f>
        <v>#N/A</v>
      </c>
      <c r="K46" s="189" t="e">
        <f>VLOOKUP(A46,saisie!B$7:AL$26,11,0)</f>
        <v>#N/A</v>
      </c>
      <c r="L46" s="189" t="e">
        <f>VLOOKUP(A46,saisie!B$7:AL$26,12,0)</f>
        <v>#N/A</v>
      </c>
      <c r="M46" s="189" t="e">
        <f>VLOOKUP(A46,saisie!B$7:AL$26,13,0)</f>
        <v>#N/A</v>
      </c>
      <c r="N46" s="190" t="e">
        <f>VLOOKUP(A46,saisie!B$7:AL$26,14,0)</f>
        <v>#N/A</v>
      </c>
      <c r="O46" s="191" t="e">
        <f>VLOOKUP(A46,saisie!B$7:AL$26,15,0)</f>
        <v>#N/A</v>
      </c>
      <c r="P46" s="188" t="e">
        <f>VLOOKUP(A46,saisie!B$7:AL$26,16,0)</f>
        <v>#N/A</v>
      </c>
      <c r="Q46" s="189" t="e">
        <f>VLOOKUP(A46,saisie!B$7:AL$26,17,0)</f>
        <v>#N/A</v>
      </c>
      <c r="R46" s="189" t="e">
        <f>VLOOKUP(A46,saisie!B$7:AL$26,18,0)</f>
        <v>#N/A</v>
      </c>
      <c r="S46" s="189" t="e">
        <f>VLOOKUP(A46,saisie!B$7:AL$26,19,0)</f>
        <v>#N/A</v>
      </c>
      <c r="T46" s="190" t="e">
        <f>VLOOKUP(A46,saisie!B$7:AL$26,20,0)</f>
        <v>#N/A</v>
      </c>
      <c r="U46" s="191" t="e">
        <f>VLOOKUP(A46,saisie!B$7:AL$26,21,0)</f>
        <v>#N/A</v>
      </c>
      <c r="V46" s="188" t="e">
        <f>VLOOKUP(A46,saisie!B$7:AL$26,22,0)</f>
        <v>#N/A</v>
      </c>
      <c r="W46" s="189" t="e">
        <f>VLOOKUP(A46,saisie!B$7:AL$26,23,0)</f>
        <v>#N/A</v>
      </c>
      <c r="X46" s="189" t="e">
        <f>VLOOKUP(A46,saisie!B$7:AL$26,24,0)</f>
        <v>#N/A</v>
      </c>
      <c r="Y46" s="189" t="e">
        <f>VLOOKUP(A46,saisie!B$7:AL$26,25,0)</f>
        <v>#N/A</v>
      </c>
      <c r="Z46" s="190" t="e">
        <f>VLOOKUP(A46,saisie!B$7:AL$26,26,0)</f>
        <v>#N/A</v>
      </c>
      <c r="AA46" s="191" t="e">
        <f>VLOOKUP(A46,saisie!B$7:AL$26,27,0)</f>
        <v>#N/A</v>
      </c>
      <c r="AB46" s="188" t="e">
        <f>VLOOKUP(A46,saisie!B$7:AL$26,28,0)</f>
        <v>#N/A</v>
      </c>
      <c r="AC46" s="189" t="e">
        <f>VLOOKUP(A46,saisie!B$7:AL$26,29,0)</f>
        <v>#N/A</v>
      </c>
      <c r="AD46" s="189" t="e">
        <f>VLOOKUP(A46,saisie!B$7:AL$26,30,0)</f>
        <v>#N/A</v>
      </c>
      <c r="AE46" s="189" t="e">
        <f>VLOOKUP(A46,saisie!B$7:AL$26,31,0)</f>
        <v>#N/A</v>
      </c>
      <c r="AF46" s="190" t="e">
        <f>VLOOKUP(A46,saisie!B$7:AL$26,32,0)</f>
        <v>#N/A</v>
      </c>
      <c r="AG46" s="191" t="e">
        <f>VLOOKUP(A46,saisie!B$7:AL$26,33,0)</f>
        <v>#N/A</v>
      </c>
      <c r="AH46" s="192" t="e">
        <f>VLOOKUP(A46,saisie!B$7:AL$26,34,0)</f>
        <v>#N/A</v>
      </c>
      <c r="AI46" s="193" t="e">
        <f>VLOOKUP(A46,saisie!B$7:AL$26,35,0)</f>
        <v>#N/A</v>
      </c>
      <c r="AJ46" s="181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6"/>
      <c r="B1" s="67" t="s">
        <v>14</v>
      </c>
      <c r="C1" s="66" t="str">
        <f>'M Q'!B7</f>
        <v>LA SALESIENNE 1</v>
      </c>
      <c r="D1" s="66"/>
      <c r="E1" s="66"/>
      <c r="F1" s="66">
        <f>'M Q'!AH7</f>
        <v>1464.7</v>
      </c>
      <c r="G1" s="66"/>
      <c r="H1" s="11"/>
      <c r="I1" s="71"/>
      <c r="J1" s="67" t="str">
        <f>IF(INFO!B8&gt;7,"CLUB N°8","")</f>
        <v/>
      </c>
      <c r="K1" s="66" t="e">
        <f>'M Q'!B14</f>
        <v>#N/A</v>
      </c>
      <c r="L1" s="66"/>
      <c r="M1" s="66"/>
      <c r="N1" s="66" t="e">
        <f>'M Q'!AH14</f>
        <v>#N/A</v>
      </c>
      <c r="O1" s="67"/>
    </row>
    <row r="2" spans="1:15" ht="21.95" customHeight="1">
      <c r="A2" s="67"/>
      <c r="B2" s="67" t="s">
        <v>15</v>
      </c>
      <c r="C2" s="68" t="s">
        <v>16</v>
      </c>
      <c r="D2" s="68" t="s">
        <v>33</v>
      </c>
      <c r="E2" s="68" t="s">
        <v>35</v>
      </c>
      <c r="F2" s="67" t="s">
        <v>36</v>
      </c>
      <c r="G2" s="67"/>
      <c r="H2" s="11"/>
      <c r="I2" s="67"/>
      <c r="J2" s="67" t="s">
        <v>15</v>
      </c>
      <c r="K2" s="68" t="s">
        <v>16</v>
      </c>
      <c r="L2" s="68" t="s">
        <v>33</v>
      </c>
      <c r="M2" s="68" t="s">
        <v>35</v>
      </c>
      <c r="N2" s="67" t="s">
        <v>36</v>
      </c>
      <c r="O2" s="67"/>
    </row>
    <row r="3" spans="1:15" ht="21.95" customHeight="1">
      <c r="A3" s="69">
        <f>F3+0.0001*G3+0.0000001*E3+0.0000000001*D3</f>
        <v>297.90000995998997</v>
      </c>
      <c r="B3" s="67" t="str">
        <f>'M Q'!D7</f>
        <v>Cammarata Annick</v>
      </c>
      <c r="C3" s="66">
        <f>'M Q'!E7</f>
        <v>98.5</v>
      </c>
      <c r="D3" s="66">
        <f>'M Q'!F7</f>
        <v>99.9</v>
      </c>
      <c r="E3" s="66">
        <f>'M Q'!G7</f>
        <v>99.5</v>
      </c>
      <c r="F3" s="66">
        <f>'M Q'!H7</f>
        <v>297.89999999999998</v>
      </c>
      <c r="G3" s="66">
        <f>'M Q'!I7</f>
        <v>0</v>
      </c>
      <c r="H3" s="11"/>
      <c r="I3" s="69" t="e">
        <f>N3+0.0001*O3+0.0000001*M3+0.0000000001*L3</f>
        <v>#N/A</v>
      </c>
      <c r="J3" s="67" t="e">
        <f>'M Q'!D14</f>
        <v>#N/A</v>
      </c>
      <c r="K3" s="67" t="e">
        <f>'M Q'!E14</f>
        <v>#N/A</v>
      </c>
      <c r="L3" s="67" t="e">
        <f>'M Q'!F14</f>
        <v>#N/A</v>
      </c>
      <c r="M3" s="67" t="e">
        <f>'M Q'!G14</f>
        <v>#N/A</v>
      </c>
      <c r="N3" s="67" t="e">
        <f>'M Q'!H14</f>
        <v>#N/A</v>
      </c>
      <c r="O3" s="67" t="e">
        <f>'M Q'!I14</f>
        <v>#N/A</v>
      </c>
    </row>
    <row r="4" spans="1:15" ht="21.95" customHeight="1">
      <c r="A4" s="69">
        <f>F4+0.0001*G4+0.0000001*E4+0.0000000001*D4</f>
        <v>295.10000980972001</v>
      </c>
      <c r="B4" s="67" t="str">
        <f>'M Q'!J7</f>
        <v>Vanelstraete Nathan</v>
      </c>
      <c r="C4" s="66">
        <f>'M Q'!K7</f>
        <v>99.9</v>
      </c>
      <c r="D4" s="66">
        <f>'M Q'!L7</f>
        <v>97.2</v>
      </c>
      <c r="E4" s="66">
        <f>'M Q'!M7</f>
        <v>98</v>
      </c>
      <c r="F4" s="66">
        <f>'M Q'!N7</f>
        <v>295.10000000000002</v>
      </c>
      <c r="G4" s="66">
        <f>'M Q'!O7</f>
        <v>0</v>
      </c>
      <c r="H4" s="11"/>
      <c r="I4" s="69" t="e">
        <f>N4+0.0001*O4+0.0000001*M4+0.0000000001*L4</f>
        <v>#N/A</v>
      </c>
      <c r="J4" s="67" t="e">
        <f>'M Q'!J14</f>
        <v>#N/A</v>
      </c>
      <c r="K4" s="67" t="e">
        <f>'M Q'!K14</f>
        <v>#N/A</v>
      </c>
      <c r="L4" s="67" t="e">
        <f>'M Q'!L14</f>
        <v>#N/A</v>
      </c>
      <c r="M4" s="67" t="e">
        <f>'M Q'!M14</f>
        <v>#N/A</v>
      </c>
      <c r="N4" s="67" t="e">
        <f>'M Q'!N14</f>
        <v>#N/A</v>
      </c>
      <c r="O4" s="67" t="e">
        <f>'M Q'!O14</f>
        <v>#N/A</v>
      </c>
    </row>
    <row r="5" spans="1:15" ht="21.95" customHeight="1">
      <c r="A5" s="69">
        <f>F5+0.0001*G5+0.0000001*E5+0.0000000001*D5</f>
        <v>285.60000962955002</v>
      </c>
      <c r="B5" s="67" t="str">
        <f>'M Q'!P7</f>
        <v>Batoux Sophie</v>
      </c>
      <c r="C5" s="66">
        <f>'M Q'!Q7</f>
        <v>93.9</v>
      </c>
      <c r="D5" s="66">
        <f>'M Q'!R7</f>
        <v>95.5</v>
      </c>
      <c r="E5" s="66">
        <f>'M Q'!S7</f>
        <v>96.2</v>
      </c>
      <c r="F5" s="66">
        <f>'M Q'!T7</f>
        <v>285.60000000000002</v>
      </c>
      <c r="G5" s="66">
        <f>'M Q'!U7</f>
        <v>0</v>
      </c>
      <c r="H5" s="11"/>
      <c r="I5" s="69" t="e">
        <f>N5+0.0001*O5+0.0000001*M5+0.0000000001*L5</f>
        <v>#N/A</v>
      </c>
      <c r="J5" s="67" t="e">
        <f>'M Q'!P14</f>
        <v>#N/A</v>
      </c>
      <c r="K5" s="67" t="e">
        <f>'M Q'!Q14</f>
        <v>#N/A</v>
      </c>
      <c r="L5" s="67" t="e">
        <f>'M Q'!R14</f>
        <v>#N/A</v>
      </c>
      <c r="M5" s="67" t="e">
        <f>'M Q'!S14</f>
        <v>#N/A</v>
      </c>
      <c r="N5" s="67" t="e">
        <f>'M Q'!T14</f>
        <v>#N/A</v>
      </c>
      <c r="O5" s="67" t="e">
        <f>'M Q'!U14</f>
        <v>#N/A</v>
      </c>
    </row>
    <row r="6" spans="1:15" ht="21.95" customHeight="1">
      <c r="A6" s="69">
        <f>F6+0.0001*G6+0.0000001*E6+0.0000000001*D6</f>
        <v>289.40000974980995</v>
      </c>
      <c r="B6" s="67" t="str">
        <f>'M Q'!V7</f>
        <v>Jarcin Nathalie</v>
      </c>
      <c r="C6" s="66">
        <f>'M Q'!W7</f>
        <v>93.9</v>
      </c>
      <c r="D6" s="66">
        <f>'M Q'!X7</f>
        <v>98.1</v>
      </c>
      <c r="E6" s="66">
        <f>'M Q'!Y7</f>
        <v>97.4</v>
      </c>
      <c r="F6" s="66">
        <f>'M Q'!Z7</f>
        <v>289.39999999999998</v>
      </c>
      <c r="G6" s="66">
        <f>'M Q'!AA7</f>
        <v>0</v>
      </c>
      <c r="H6" s="11"/>
      <c r="I6" s="69" t="e">
        <f>N6+0.0001*O6+0.0000001*M6+0.0000000001*L6</f>
        <v>#N/A</v>
      </c>
      <c r="J6" s="67" t="e">
        <f>'M Q'!V14</f>
        <v>#N/A</v>
      </c>
      <c r="K6" s="67" t="e">
        <f>'M Q'!W14</f>
        <v>#N/A</v>
      </c>
      <c r="L6" s="67" t="e">
        <f>'M Q'!X14</f>
        <v>#N/A</v>
      </c>
      <c r="M6" s="67" t="e">
        <f>'M Q'!Y14</f>
        <v>#N/A</v>
      </c>
      <c r="N6" s="67" t="e">
        <f>'M Q'!Z14</f>
        <v>#N/A</v>
      </c>
      <c r="O6" s="67" t="e">
        <f>'M Q'!AA14</f>
        <v>#N/A</v>
      </c>
    </row>
    <row r="7" spans="1:15" ht="21.95" customHeight="1">
      <c r="A7" s="69">
        <f>F7+0.0001*G7+0.0000001*E7+0.0000000001*D7</f>
        <v>296.70000989995003</v>
      </c>
      <c r="B7" s="67" t="str">
        <f>'M Q'!AB7</f>
        <v>Joly Stéphanie</v>
      </c>
      <c r="C7" s="66">
        <f>'M Q'!AC7</f>
        <v>98.3</v>
      </c>
      <c r="D7" s="66">
        <f>'M Q'!AD7</f>
        <v>99.5</v>
      </c>
      <c r="E7" s="66">
        <f>'M Q'!AE7</f>
        <v>98.9</v>
      </c>
      <c r="F7" s="66">
        <f>'M Q'!AF7</f>
        <v>296.70000000000005</v>
      </c>
      <c r="G7" s="66">
        <f>'M Q'!AG7</f>
        <v>0</v>
      </c>
      <c r="H7" s="11"/>
      <c r="I7" s="69" t="e">
        <f>N7+0.0001*O7+0.0000001*M7+0.0000000001*L7</f>
        <v>#N/A</v>
      </c>
      <c r="J7" s="67" t="e">
        <f>'M Q'!AB14</f>
        <v>#N/A</v>
      </c>
      <c r="K7" s="67" t="e">
        <f>'M Q'!AC14</f>
        <v>#N/A</v>
      </c>
      <c r="L7" s="67" t="e">
        <f>'M Q'!AD14</f>
        <v>#N/A</v>
      </c>
      <c r="M7" s="67" t="e">
        <f>'M Q'!AE14</f>
        <v>#N/A</v>
      </c>
      <c r="N7" s="67" t="e">
        <f>'M Q'!AF14</f>
        <v>#N/A</v>
      </c>
      <c r="O7" s="67" t="e">
        <f>'M Q'!AG14</f>
        <v>#N/A</v>
      </c>
    </row>
    <row r="8" spans="1:15" ht="21.95" customHeight="1">
      <c r="A8" s="65"/>
      <c r="B8" s="11"/>
      <c r="C8" s="11"/>
      <c r="D8" s="11"/>
      <c r="E8" s="11"/>
      <c r="F8" s="11"/>
      <c r="G8" s="11"/>
      <c r="H8" s="11"/>
      <c r="I8" s="65"/>
      <c r="J8" s="11"/>
      <c r="K8" s="11"/>
      <c r="L8" s="11"/>
      <c r="M8" s="11"/>
      <c r="N8" s="11"/>
      <c r="O8" s="11"/>
    </row>
    <row r="9" spans="1:15" ht="21.95" customHeight="1">
      <c r="A9" s="66"/>
      <c r="B9" s="67" t="s">
        <v>37</v>
      </c>
      <c r="C9" s="67" t="str">
        <f>'M Q'!B8</f>
        <v>CTR Rumilly</v>
      </c>
      <c r="D9" s="67"/>
      <c r="E9" s="67"/>
      <c r="F9" s="66">
        <f>'M Q'!AH8</f>
        <v>1342.1</v>
      </c>
      <c r="G9" s="66"/>
      <c r="H9" s="11"/>
      <c r="I9" s="66"/>
      <c r="J9" s="67" t="str">
        <f>IF(INFO!B8&gt;6,"CLUB N°7","")</f>
        <v/>
      </c>
      <c r="K9" s="67" t="e">
        <f>'M Q'!B13</f>
        <v>#N/A</v>
      </c>
      <c r="L9" s="67"/>
      <c r="M9" s="67"/>
      <c r="N9" s="66" t="e">
        <f>'M Q'!AH13</f>
        <v>#N/A</v>
      </c>
      <c r="O9" s="67"/>
    </row>
    <row r="10" spans="1:15" ht="21.95" customHeight="1">
      <c r="A10" s="67"/>
      <c r="B10" s="67" t="s">
        <v>15</v>
      </c>
      <c r="C10" s="68" t="s">
        <v>16</v>
      </c>
      <c r="D10" s="68" t="s">
        <v>33</v>
      </c>
      <c r="E10" s="68" t="s">
        <v>35</v>
      </c>
      <c r="F10" s="67" t="s">
        <v>36</v>
      </c>
      <c r="G10" s="67"/>
      <c r="H10" s="11"/>
      <c r="I10" s="67"/>
      <c r="J10" s="67" t="s">
        <v>15</v>
      </c>
      <c r="K10" s="68" t="s">
        <v>16</v>
      </c>
      <c r="L10" s="68" t="s">
        <v>33</v>
      </c>
      <c r="M10" s="68" t="s">
        <v>35</v>
      </c>
      <c r="N10" s="67" t="s">
        <v>36</v>
      </c>
      <c r="O10" s="67"/>
    </row>
    <row r="11" spans="1:15" ht="21.95" customHeight="1">
      <c r="A11" s="69">
        <f>F11+0.0001*G11+0.0000001*E11+0.0000000001*D11</f>
        <v>284.10000921973</v>
      </c>
      <c r="B11" s="67" t="str">
        <f>'M Q'!D8</f>
        <v>Aymard Léane</v>
      </c>
      <c r="C11" s="66">
        <f>'M Q'!E8</f>
        <v>94.7</v>
      </c>
      <c r="D11" s="66">
        <f>'M Q'!F8</f>
        <v>97.3</v>
      </c>
      <c r="E11" s="66">
        <f>'M Q'!G8</f>
        <v>92.1</v>
      </c>
      <c r="F11" s="66">
        <f>'M Q'!H8</f>
        <v>284.10000000000002</v>
      </c>
      <c r="G11" s="66">
        <f>'M Q'!I8</f>
        <v>0</v>
      </c>
      <c r="H11" s="11"/>
      <c r="I11" s="69" t="e">
        <f>N11+0.0001*O11+0.0000001*M11+0.0000000001*L11</f>
        <v>#N/A</v>
      </c>
      <c r="J11" s="67" t="e">
        <f>'M Q'!D13</f>
        <v>#N/A</v>
      </c>
      <c r="K11" s="67" t="e">
        <f>'M Q'!E13</f>
        <v>#N/A</v>
      </c>
      <c r="L11" s="67" t="e">
        <f>'M Q'!F13</f>
        <v>#N/A</v>
      </c>
      <c r="M11" s="67" t="e">
        <f>'M Q'!G13</f>
        <v>#N/A</v>
      </c>
      <c r="N11" s="67" t="e">
        <f>'M Q'!H13</f>
        <v>#N/A</v>
      </c>
      <c r="O11" s="67" t="e">
        <f>'M Q'!I13</f>
        <v>#N/A</v>
      </c>
    </row>
    <row r="12" spans="1:15" ht="21.95" customHeight="1">
      <c r="A12" s="69">
        <f>F12+0.0001*G12+0.0000001*E12+0.0000000001*D12</f>
        <v>272.90000919834</v>
      </c>
      <c r="B12" s="67" t="str">
        <f>'M Q'!J8</f>
        <v>Martinez Agathe</v>
      </c>
      <c r="C12" s="66">
        <f>'M Q'!K8</f>
        <v>97.6</v>
      </c>
      <c r="D12" s="66">
        <f>'M Q'!L8</f>
        <v>83.4</v>
      </c>
      <c r="E12" s="66">
        <f>'M Q'!M8</f>
        <v>91.9</v>
      </c>
      <c r="F12" s="66">
        <f>'M Q'!N8</f>
        <v>272.89999999999998</v>
      </c>
      <c r="G12" s="66">
        <f>'M Q'!O8</f>
        <v>0</v>
      </c>
      <c r="H12" s="11"/>
      <c r="I12" s="69" t="e">
        <f>N12+0.0001*O12+0.0000001*M12+0.0000000001*L12</f>
        <v>#N/A</v>
      </c>
      <c r="J12" s="67" t="e">
        <f>'M Q'!J13</f>
        <v>#N/A</v>
      </c>
      <c r="K12" s="67" t="e">
        <f>'M Q'!K13</f>
        <v>#N/A</v>
      </c>
      <c r="L12" s="67" t="e">
        <f>'M Q'!L13</f>
        <v>#N/A</v>
      </c>
      <c r="M12" s="67" t="e">
        <f>'M Q'!M13</f>
        <v>#N/A</v>
      </c>
      <c r="N12" s="67" t="e">
        <f>'M Q'!N13</f>
        <v>#N/A</v>
      </c>
      <c r="O12" s="67" t="e">
        <f>'M Q'!O13</f>
        <v>#N/A</v>
      </c>
    </row>
    <row r="13" spans="1:15" ht="21.95" customHeight="1">
      <c r="A13" s="69">
        <f>F13+0.0001*G13+0.0000001*E13+0.0000000001*D13</f>
        <v>251.00000875801001</v>
      </c>
      <c r="B13" s="67" t="str">
        <f>'M Q'!P8</f>
        <v>Greco Laura</v>
      </c>
      <c r="C13" s="66">
        <f>'M Q'!Q8</f>
        <v>83.4</v>
      </c>
      <c r="D13" s="66">
        <f>'M Q'!R8</f>
        <v>80.099999999999994</v>
      </c>
      <c r="E13" s="66">
        <f>'M Q'!S8</f>
        <v>87.5</v>
      </c>
      <c r="F13" s="66">
        <f>'M Q'!T8</f>
        <v>251</v>
      </c>
      <c r="G13" s="66">
        <f>'M Q'!U8</f>
        <v>0</v>
      </c>
      <c r="H13" s="11"/>
      <c r="I13" s="69" t="e">
        <f>N13+0.0001*O13+0.0000001*M13+0.0000000001*L13</f>
        <v>#N/A</v>
      </c>
      <c r="J13" s="67" t="e">
        <f>'M Q'!P13</f>
        <v>#N/A</v>
      </c>
      <c r="K13" s="67" t="e">
        <f>'M Q'!Q13</f>
        <v>#N/A</v>
      </c>
      <c r="L13" s="67" t="e">
        <f>'M Q'!R13</f>
        <v>#N/A</v>
      </c>
      <c r="M13" s="67" t="e">
        <f>'M Q'!S13</f>
        <v>#N/A</v>
      </c>
      <c r="N13" s="67" t="e">
        <f>'M Q'!T13</f>
        <v>#N/A</v>
      </c>
      <c r="O13" s="67" t="e">
        <f>'M Q'!U13</f>
        <v>#N/A</v>
      </c>
    </row>
    <row r="14" spans="1:15" ht="21.95" customHeight="1">
      <c r="A14" s="69">
        <f>F14+0.0001*G14+0.0000001*E14+0.0000000001*D14</f>
        <v>272.00000921868997</v>
      </c>
      <c r="B14" s="67" t="str">
        <f>'M Q'!V8</f>
        <v>Letournel Solène</v>
      </c>
      <c r="C14" s="66">
        <f>'M Q'!W8</f>
        <v>93</v>
      </c>
      <c r="D14" s="66">
        <f>'M Q'!X8</f>
        <v>86.9</v>
      </c>
      <c r="E14" s="66">
        <f>'M Q'!Y8</f>
        <v>92.1</v>
      </c>
      <c r="F14" s="66">
        <f>'M Q'!Z8</f>
        <v>272</v>
      </c>
      <c r="G14" s="66">
        <f>'M Q'!AA8</f>
        <v>0</v>
      </c>
      <c r="H14" s="11"/>
      <c r="I14" s="69" t="e">
        <f>N14+0.0001*O14+0.0000001*M14+0.0000000001*L14</f>
        <v>#N/A</v>
      </c>
      <c r="J14" s="67" t="e">
        <f>'M Q'!V13</f>
        <v>#N/A</v>
      </c>
      <c r="K14" s="67" t="e">
        <f>'M Q'!W13</f>
        <v>#N/A</v>
      </c>
      <c r="L14" s="67" t="e">
        <f>'M Q'!X13</f>
        <v>#N/A</v>
      </c>
      <c r="M14" s="67" t="e">
        <f>'M Q'!Y13</f>
        <v>#N/A</v>
      </c>
      <c r="N14" s="67" t="e">
        <f>'M Q'!Z13</f>
        <v>#N/A</v>
      </c>
      <c r="O14" s="67" t="e">
        <f>'M Q'!AA13</f>
        <v>#N/A</v>
      </c>
    </row>
    <row r="15" spans="1:15" ht="21.95" customHeight="1">
      <c r="A15" s="69">
        <f>F15+0.0001*G15+0.0000001*E15+0.0000000001*D15</f>
        <v>262.10000893851998</v>
      </c>
      <c r="B15" s="67" t="str">
        <f>'M Q'!AB8</f>
        <v>Maillet Denis</v>
      </c>
      <c r="C15" s="66">
        <f>'M Q'!AC8</f>
        <v>87.6</v>
      </c>
      <c r="D15" s="66">
        <f>'M Q'!AD8</f>
        <v>85.2</v>
      </c>
      <c r="E15" s="66">
        <f>'M Q'!AE8</f>
        <v>89.3</v>
      </c>
      <c r="F15" s="66">
        <f>'M Q'!AF8</f>
        <v>262.10000000000002</v>
      </c>
      <c r="G15" s="66">
        <f>'M Q'!AG8</f>
        <v>0</v>
      </c>
      <c r="H15" s="11"/>
      <c r="I15" s="69" t="e">
        <f>N15+0.0001*O15+0.0000001*M15+0.0000000001*L15</f>
        <v>#N/A</v>
      </c>
      <c r="J15" s="67" t="e">
        <f>'M Q'!AB13</f>
        <v>#N/A</v>
      </c>
      <c r="K15" s="67" t="e">
        <f>'M Q'!AC13</f>
        <v>#N/A</v>
      </c>
      <c r="L15" s="67" t="e">
        <f>'M Q'!AD13</f>
        <v>#N/A</v>
      </c>
      <c r="M15" s="67" t="e">
        <f>'M Q'!AE13</f>
        <v>#N/A</v>
      </c>
      <c r="N15" s="67" t="e">
        <f>'M Q'!AF13</f>
        <v>#N/A</v>
      </c>
      <c r="O15" s="67" t="e">
        <f>'M Q'!AG13</f>
        <v>#N/A</v>
      </c>
    </row>
    <row r="16" spans="1:15" ht="21.95" customHeight="1">
      <c r="A16" s="65"/>
      <c r="B16" s="11"/>
      <c r="C16" s="11"/>
      <c r="D16" s="11"/>
      <c r="E16" s="11"/>
      <c r="F16" s="11"/>
      <c r="G16" s="11"/>
      <c r="H16" s="11"/>
      <c r="I16" s="65"/>
      <c r="J16" s="11"/>
      <c r="K16" s="11"/>
      <c r="L16" s="11"/>
      <c r="M16" s="11"/>
      <c r="N16" s="11"/>
      <c r="O16" s="11"/>
    </row>
    <row r="17" spans="1:15" ht="21.95" customHeight="1">
      <c r="A17" s="66"/>
      <c r="B17" s="67" t="str">
        <f>IF(INFO!B8&gt;2,"CLUB N°3","")</f>
        <v>CLUB N°3</v>
      </c>
      <c r="C17" s="67" t="str">
        <f>'M Q'!B9</f>
        <v>LA SALESIENNE HM</v>
      </c>
      <c r="D17" s="67"/>
      <c r="E17" s="67"/>
      <c r="F17" s="66">
        <f>'M Q'!AH9</f>
        <v>1331.1999999999998</v>
      </c>
      <c r="G17" s="66"/>
      <c r="H17" s="11"/>
      <c r="I17" s="66"/>
      <c r="J17" s="67" t="str">
        <f>IF(INFO!B8&gt;5,"CLUB N°6","")</f>
        <v/>
      </c>
      <c r="K17" s="67" t="e">
        <f>'M Q'!B12</f>
        <v>#N/A</v>
      </c>
      <c r="L17" s="67"/>
      <c r="M17" s="67"/>
      <c r="N17" s="66" t="e">
        <f>'M Q'!AH12</f>
        <v>#N/A</v>
      </c>
      <c r="O17" s="67"/>
    </row>
    <row r="18" spans="1:15" ht="21.95" customHeight="1">
      <c r="A18" s="67"/>
      <c r="B18" s="67" t="s">
        <v>15</v>
      </c>
      <c r="C18" s="68" t="s">
        <v>16</v>
      </c>
      <c r="D18" s="68" t="s">
        <v>33</v>
      </c>
      <c r="E18" s="68" t="s">
        <v>35</v>
      </c>
      <c r="F18" s="67" t="s">
        <v>36</v>
      </c>
      <c r="G18" s="67"/>
      <c r="H18" s="11"/>
      <c r="I18" s="67"/>
      <c r="J18" s="67" t="s">
        <v>15</v>
      </c>
      <c r="K18" s="68" t="s">
        <v>16</v>
      </c>
      <c r="L18" s="68" t="s">
        <v>33</v>
      </c>
      <c r="M18" s="68" t="s">
        <v>35</v>
      </c>
      <c r="N18" s="67" t="s">
        <v>36</v>
      </c>
      <c r="O18" s="67"/>
    </row>
    <row r="19" spans="1:15" ht="21.95" customHeight="1">
      <c r="A19" s="70">
        <f>F19+0.0001*G19+0.0000001*E19+0.0000000001*D19</f>
        <v>291.60000986970999</v>
      </c>
      <c r="B19" s="67" t="str">
        <f>'M Q'!D9</f>
        <v>Hochart Pierre</v>
      </c>
      <c r="C19" s="66">
        <f>'M Q'!E9</f>
        <v>95.9</v>
      </c>
      <c r="D19" s="66">
        <f>'M Q'!F9</f>
        <v>97.1</v>
      </c>
      <c r="E19" s="66">
        <f>'M Q'!G9</f>
        <v>98.6</v>
      </c>
      <c r="F19" s="66">
        <f>'M Q'!H9</f>
        <v>291.60000000000002</v>
      </c>
      <c r="G19" s="66">
        <f>'M Q'!I9</f>
        <v>0</v>
      </c>
      <c r="H19" s="11"/>
      <c r="I19" s="69" t="e">
        <f>N19+0.0001*O19+0.0000001*M19+0.0000000001*L19</f>
        <v>#N/A</v>
      </c>
      <c r="J19" s="67" t="e">
        <f>'M Q'!D12</f>
        <v>#N/A</v>
      </c>
      <c r="K19" s="67" t="e">
        <f>'M Q'!E12</f>
        <v>#N/A</v>
      </c>
      <c r="L19" s="67" t="e">
        <f>'M Q'!F12</f>
        <v>#N/A</v>
      </c>
      <c r="M19" s="67" t="e">
        <f>'M Q'!G12</f>
        <v>#N/A</v>
      </c>
      <c r="N19" s="67" t="e">
        <f>'M Q'!H12</f>
        <v>#N/A</v>
      </c>
      <c r="O19" s="67" t="e">
        <f>'M Q'!I12</f>
        <v>#N/A</v>
      </c>
    </row>
    <row r="20" spans="1:15" ht="21.95" customHeight="1">
      <c r="A20" s="70">
        <f>F20+0.0001*G20+0.0000001*E20+0.0000000001*D20</f>
        <v>294.70001000970996</v>
      </c>
      <c r="B20" s="67" t="str">
        <f>'M Q'!J9</f>
        <v>Abbe Timéo</v>
      </c>
      <c r="C20" s="66">
        <f>'M Q'!K9</f>
        <v>97.6</v>
      </c>
      <c r="D20" s="66">
        <f>'M Q'!L9</f>
        <v>97.1</v>
      </c>
      <c r="E20" s="66">
        <f>'M Q'!M9</f>
        <v>100</v>
      </c>
      <c r="F20" s="66">
        <f>'M Q'!N9</f>
        <v>294.7</v>
      </c>
      <c r="G20" s="66">
        <f>'M Q'!O9</f>
        <v>0</v>
      </c>
      <c r="H20" s="11"/>
      <c r="I20" s="69" t="e">
        <f>N20+0.0001*O20+0.0000001*M20+0.0000000001*L20</f>
        <v>#N/A</v>
      </c>
      <c r="J20" s="67" t="e">
        <f>'M Q'!J12</f>
        <v>#N/A</v>
      </c>
      <c r="K20" s="67" t="e">
        <f>'M Q'!K12</f>
        <v>#N/A</v>
      </c>
      <c r="L20" s="67" t="e">
        <f>'M Q'!L12</f>
        <v>#N/A</v>
      </c>
      <c r="M20" s="67" t="e">
        <f>'M Q'!M12</f>
        <v>#N/A</v>
      </c>
      <c r="N20" s="67" t="e">
        <f>'M Q'!N12</f>
        <v>#N/A</v>
      </c>
      <c r="O20" s="67" t="e">
        <f>'M Q'!O12</f>
        <v>#N/A</v>
      </c>
    </row>
    <row r="21" spans="1:15" ht="21.95" customHeight="1">
      <c r="A21" s="70">
        <f>F21+0.0001*G21+0.0000001*E21+0.0000000001*D21</f>
        <v>239.70000875808</v>
      </c>
      <c r="B21" s="67" t="str">
        <f>'M Q'!P9</f>
        <v>Montauriol Ludovic</v>
      </c>
      <c r="C21" s="66">
        <f>'M Q'!Q9</f>
        <v>71.400000000000006</v>
      </c>
      <c r="D21" s="66">
        <f>'M Q'!R9</f>
        <v>80.8</v>
      </c>
      <c r="E21" s="66">
        <f>'M Q'!S9</f>
        <v>87.5</v>
      </c>
      <c r="F21" s="66">
        <f>'M Q'!T9</f>
        <v>239.7</v>
      </c>
      <c r="G21" s="66">
        <f>'M Q'!U9</f>
        <v>0</v>
      </c>
      <c r="H21" s="11"/>
      <c r="I21" s="69" t="e">
        <f>N21+0.0001*O21+0.0000001*M21+0.0000000001*L21</f>
        <v>#N/A</v>
      </c>
      <c r="J21" s="67" t="e">
        <f>'M Q'!P12</f>
        <v>#N/A</v>
      </c>
      <c r="K21" s="67" t="e">
        <f>'M Q'!Q12</f>
        <v>#N/A</v>
      </c>
      <c r="L21" s="67" t="e">
        <f>'M Q'!R12</f>
        <v>#N/A</v>
      </c>
      <c r="M21" s="67" t="e">
        <f>'M Q'!S12</f>
        <v>#N/A</v>
      </c>
      <c r="N21" s="67" t="e">
        <f>'M Q'!T12</f>
        <v>#N/A</v>
      </c>
      <c r="O21" s="67" t="e">
        <f>'M Q'!U12</f>
        <v>#N/A</v>
      </c>
    </row>
    <row r="22" spans="1:15" ht="21.95" customHeight="1">
      <c r="A22" s="70">
        <f>F22+0.0001*G22+0.0000001*E22+0.0000000001*D22</f>
        <v>265.10000918847004</v>
      </c>
      <c r="B22" s="67" t="str">
        <f>'M Q'!V9</f>
        <v>Legal Adeline</v>
      </c>
      <c r="C22" s="66">
        <f>'M Q'!W9</f>
        <v>88.6</v>
      </c>
      <c r="D22" s="66">
        <f>'M Q'!X9</f>
        <v>84.7</v>
      </c>
      <c r="E22" s="66">
        <f>'M Q'!Y9</f>
        <v>91.8</v>
      </c>
      <c r="F22" s="66">
        <f>'M Q'!Z9</f>
        <v>265.10000000000002</v>
      </c>
      <c r="G22" s="66">
        <f>'M Q'!AA9</f>
        <v>0</v>
      </c>
      <c r="H22" s="11"/>
      <c r="I22" s="69" t="e">
        <f>N22+0.0001*O22+0.0000001*M22+0.0000000001*L22</f>
        <v>#N/A</v>
      </c>
      <c r="J22" s="67" t="e">
        <f>'M Q'!V12</f>
        <v>#N/A</v>
      </c>
      <c r="K22" s="67" t="e">
        <f>'M Q'!W12</f>
        <v>#N/A</v>
      </c>
      <c r="L22" s="67" t="e">
        <f>'M Q'!X12</f>
        <v>#N/A</v>
      </c>
      <c r="M22" s="67" t="e">
        <f>'M Q'!Y12</f>
        <v>#N/A</v>
      </c>
      <c r="N22" s="67" t="e">
        <f>'M Q'!Z12</f>
        <v>#N/A</v>
      </c>
      <c r="O22" s="67" t="e">
        <f>'M Q'!AA12</f>
        <v>#N/A</v>
      </c>
    </row>
    <row r="23" spans="1:15" ht="21.95" customHeight="1">
      <c r="A23" s="70">
        <f>F23+0.0001*G23+0.0000001*E23+0.0000000001*D23</f>
        <v>240.10000835779002</v>
      </c>
      <c r="B23" s="67" t="str">
        <f>'M Q'!AB9</f>
        <v>Ismail Féthi</v>
      </c>
      <c r="C23" s="66">
        <f>'M Q'!AC9</f>
        <v>78.7</v>
      </c>
      <c r="D23" s="66">
        <f>'M Q'!AD9</f>
        <v>77.900000000000006</v>
      </c>
      <c r="E23" s="66">
        <f>'M Q'!AE9</f>
        <v>83.5</v>
      </c>
      <c r="F23" s="66">
        <f>'M Q'!AF9</f>
        <v>240.10000000000002</v>
      </c>
      <c r="G23" s="66">
        <f>'M Q'!AG9</f>
        <v>0</v>
      </c>
      <c r="H23" s="11"/>
      <c r="I23" s="69" t="e">
        <f>N23+0.0001*O23+0.0000001*M23+0.0000000001*L23</f>
        <v>#N/A</v>
      </c>
      <c r="J23" s="67" t="e">
        <f>'M Q'!AB12</f>
        <v>#N/A</v>
      </c>
      <c r="K23" s="67" t="e">
        <f>'M Q'!AC12</f>
        <v>#N/A</v>
      </c>
      <c r="L23" s="67" t="e">
        <f>'M Q'!AD12</f>
        <v>#N/A</v>
      </c>
      <c r="M23" s="67" t="e">
        <f>'M Q'!AE12</f>
        <v>#N/A</v>
      </c>
      <c r="N23" s="67" t="e">
        <f>'M Q'!AF12</f>
        <v>#N/A</v>
      </c>
      <c r="O23" s="67" t="e">
        <f>'M Q'!AG12</f>
        <v>#N/A</v>
      </c>
    </row>
    <row r="24" spans="1:15" ht="21.95" customHeight="1">
      <c r="A24" s="65"/>
      <c r="B24" s="11"/>
      <c r="C24" s="11"/>
      <c r="D24" s="11"/>
      <c r="E24" s="11"/>
      <c r="F24" s="11"/>
      <c r="G24" s="11"/>
      <c r="H24" s="11"/>
      <c r="I24" s="65"/>
      <c r="J24" s="11"/>
      <c r="K24" s="11"/>
      <c r="L24" s="11"/>
      <c r="M24" s="11"/>
      <c r="N24" s="11"/>
      <c r="O24" s="11"/>
    </row>
    <row r="25" spans="1:15" ht="21.95" customHeight="1">
      <c r="A25" s="66"/>
      <c r="B25" s="67" t="str">
        <f>IF(INFO!B8&gt;3,"CLUB N°4","")</f>
        <v/>
      </c>
      <c r="C25" s="67" t="e">
        <f>'M Q'!B10</f>
        <v>#N/A</v>
      </c>
      <c r="D25" s="67"/>
      <c r="E25" s="67"/>
      <c r="F25" s="66" t="e">
        <f>'M Q'!AH10</f>
        <v>#N/A</v>
      </c>
      <c r="G25" s="66"/>
      <c r="H25" s="11"/>
      <c r="I25" s="66"/>
      <c r="J25" s="67" t="str">
        <f>IF(INFO!B8&gt;4,"CLUB N°5","")</f>
        <v/>
      </c>
      <c r="K25" s="67" t="e">
        <f>'M Q'!B11</f>
        <v>#N/A</v>
      </c>
      <c r="L25" s="67"/>
      <c r="M25" s="67"/>
      <c r="N25" s="66" t="e">
        <f>'M Q'!AH11</f>
        <v>#N/A</v>
      </c>
      <c r="O25" s="67"/>
    </row>
    <row r="26" spans="1:15" ht="21.95" customHeight="1">
      <c r="A26" s="67"/>
      <c r="B26" s="67" t="s">
        <v>15</v>
      </c>
      <c r="C26" s="68" t="s">
        <v>16</v>
      </c>
      <c r="D26" s="68" t="s">
        <v>33</v>
      </c>
      <c r="E26" s="68" t="s">
        <v>35</v>
      </c>
      <c r="F26" s="67" t="s">
        <v>36</v>
      </c>
      <c r="G26" s="67"/>
      <c r="H26" s="11"/>
      <c r="I26" s="67"/>
      <c r="J26" s="67" t="s">
        <v>15</v>
      </c>
      <c r="K26" s="68" t="s">
        <v>16</v>
      </c>
      <c r="L26" s="68" t="s">
        <v>33</v>
      </c>
      <c r="M26" s="68" t="s">
        <v>35</v>
      </c>
      <c r="N26" s="67" t="s">
        <v>36</v>
      </c>
      <c r="O26" s="67"/>
    </row>
    <row r="27" spans="1:15" ht="21.95" customHeight="1">
      <c r="A27" s="69" t="e">
        <f>F27+0.0001*G27+0.0000001*E27+0.0000000001*D27</f>
        <v>#N/A</v>
      </c>
      <c r="B27" s="67" t="e">
        <f>'M Q'!D10</f>
        <v>#N/A</v>
      </c>
      <c r="C27" s="66" t="e">
        <f>'M Q'!E10</f>
        <v>#N/A</v>
      </c>
      <c r="D27" s="66" t="e">
        <f>'M Q'!F10</f>
        <v>#N/A</v>
      </c>
      <c r="E27" s="66" t="e">
        <f>'M Q'!G10</f>
        <v>#N/A</v>
      </c>
      <c r="F27" s="66" t="e">
        <f>'M Q'!H10</f>
        <v>#N/A</v>
      </c>
      <c r="G27" s="66" t="e">
        <f>'M Q'!I10</f>
        <v>#N/A</v>
      </c>
      <c r="H27" s="11"/>
      <c r="I27" s="69" t="e">
        <f>N27+0.0001*O27+0.0000001*M27+0.0000000001*L27</f>
        <v>#N/A</v>
      </c>
      <c r="J27" s="67" t="e">
        <f>'M Q'!D11</f>
        <v>#N/A</v>
      </c>
      <c r="K27" s="67" t="e">
        <f>'M Q'!E11</f>
        <v>#N/A</v>
      </c>
      <c r="L27" s="67" t="e">
        <f>'M Q'!F11</f>
        <v>#N/A</v>
      </c>
      <c r="M27" s="67" t="e">
        <f>'M Q'!G11</f>
        <v>#N/A</v>
      </c>
      <c r="N27" s="67" t="e">
        <f>'M Q'!H11</f>
        <v>#N/A</v>
      </c>
      <c r="O27" s="67" t="e">
        <f>'M Q'!I11</f>
        <v>#N/A</v>
      </c>
    </row>
    <row r="28" spans="1:15" ht="21.95" customHeight="1">
      <c r="A28" s="69" t="e">
        <f>F28+0.0001*G28+0.0000001*E28+0.0000000001*D28</f>
        <v>#N/A</v>
      </c>
      <c r="B28" s="67" t="e">
        <f>'M Q'!J10</f>
        <v>#N/A</v>
      </c>
      <c r="C28" s="66" t="e">
        <f>'M Q'!K10</f>
        <v>#N/A</v>
      </c>
      <c r="D28" s="66" t="e">
        <f>'M Q'!L10</f>
        <v>#N/A</v>
      </c>
      <c r="E28" s="66" t="e">
        <f>'M Q'!M10</f>
        <v>#N/A</v>
      </c>
      <c r="F28" s="66" t="e">
        <f>'M Q'!N10</f>
        <v>#N/A</v>
      </c>
      <c r="G28" s="66" t="e">
        <f>'M Q'!O10</f>
        <v>#N/A</v>
      </c>
      <c r="H28" s="11"/>
      <c r="I28" s="69" t="e">
        <f>N28+0.0001*O28+0.0000001*M28+0.0000000001*L28</f>
        <v>#N/A</v>
      </c>
      <c r="J28" s="67" t="e">
        <f>'M Q'!J11</f>
        <v>#N/A</v>
      </c>
      <c r="K28" s="67" t="e">
        <f>'M Q'!K11</f>
        <v>#N/A</v>
      </c>
      <c r="L28" s="67" t="e">
        <f>'M Q'!L11</f>
        <v>#N/A</v>
      </c>
      <c r="M28" s="67" t="e">
        <f>'M Q'!M11</f>
        <v>#N/A</v>
      </c>
      <c r="N28" s="67" t="e">
        <f>'M Q'!N11</f>
        <v>#N/A</v>
      </c>
      <c r="O28" s="67" t="e">
        <f>'M Q'!O11</f>
        <v>#N/A</v>
      </c>
    </row>
    <row r="29" spans="1:15" ht="21.95" customHeight="1">
      <c r="A29" s="69" t="e">
        <f>F29+0.0001*G29+0.0000001*E29+0.0000000001*D29</f>
        <v>#N/A</v>
      </c>
      <c r="B29" s="67" t="e">
        <f>'M Q'!P10</f>
        <v>#N/A</v>
      </c>
      <c r="C29" s="66" t="e">
        <f>'M Q'!Q10</f>
        <v>#N/A</v>
      </c>
      <c r="D29" s="66" t="e">
        <f>'M Q'!R10</f>
        <v>#N/A</v>
      </c>
      <c r="E29" s="66" t="e">
        <f>'M Q'!S10</f>
        <v>#N/A</v>
      </c>
      <c r="F29" s="66" t="e">
        <f>'M Q'!T10</f>
        <v>#N/A</v>
      </c>
      <c r="G29" s="66" t="e">
        <f>'M Q'!U10</f>
        <v>#N/A</v>
      </c>
      <c r="H29" s="11"/>
      <c r="I29" s="69" t="e">
        <f>N29+0.0001*O29+0.0000001*M29+0.0000000001*L29</f>
        <v>#N/A</v>
      </c>
      <c r="J29" s="67" t="e">
        <f>'M Q'!P11</f>
        <v>#N/A</v>
      </c>
      <c r="K29" s="67" t="e">
        <f>'M Q'!Q11</f>
        <v>#N/A</v>
      </c>
      <c r="L29" s="67" t="e">
        <f>'M Q'!R11</f>
        <v>#N/A</v>
      </c>
      <c r="M29" s="67" t="e">
        <f>'M Q'!S11</f>
        <v>#N/A</v>
      </c>
      <c r="N29" s="67" t="e">
        <f>'M Q'!T11</f>
        <v>#N/A</v>
      </c>
      <c r="O29" s="67" t="e">
        <f>'M Q'!U11</f>
        <v>#N/A</v>
      </c>
    </row>
    <row r="30" spans="1:15" ht="21.95" customHeight="1">
      <c r="A30" s="69" t="e">
        <f>F30+0.0001*G30+0.0000001*E30+0.0000000001*D30</f>
        <v>#N/A</v>
      </c>
      <c r="B30" s="67" t="e">
        <f>'M Q'!V10</f>
        <v>#N/A</v>
      </c>
      <c r="C30" s="66" t="e">
        <f>'M Q'!W10</f>
        <v>#N/A</v>
      </c>
      <c r="D30" s="66" t="e">
        <f>'M Q'!X10</f>
        <v>#N/A</v>
      </c>
      <c r="E30" s="66" t="e">
        <f>'M Q'!Y10</f>
        <v>#N/A</v>
      </c>
      <c r="F30" s="66" t="e">
        <f>'M Q'!Z10</f>
        <v>#N/A</v>
      </c>
      <c r="G30" s="66" t="e">
        <f>'M Q'!AA10</f>
        <v>#N/A</v>
      </c>
      <c r="H30" s="11"/>
      <c r="I30" s="69" t="e">
        <f>N30+0.0001*O30+0.0000001*M30+0.0000000001*L30</f>
        <v>#N/A</v>
      </c>
      <c r="J30" s="67" t="e">
        <f>'M Q'!V11</f>
        <v>#N/A</v>
      </c>
      <c r="K30" s="67" t="e">
        <f>'M Q'!W11</f>
        <v>#N/A</v>
      </c>
      <c r="L30" s="67" t="e">
        <f>'M Q'!X11</f>
        <v>#N/A</v>
      </c>
      <c r="M30" s="67" t="e">
        <f>'M Q'!Y11</f>
        <v>#N/A</v>
      </c>
      <c r="N30" s="67" t="e">
        <f>'M Q'!Z11</f>
        <v>#N/A</v>
      </c>
      <c r="O30" s="67" t="e">
        <f>'M Q'!AA11</f>
        <v>#N/A</v>
      </c>
    </row>
    <row r="31" spans="1:15" ht="21.95" customHeight="1">
      <c r="A31" s="69" t="e">
        <f>F31+0.0001*G31+0.0000001*E31+0.0000000001*D31</f>
        <v>#N/A</v>
      </c>
      <c r="B31" s="67" t="e">
        <f>'M Q'!AB10</f>
        <v>#N/A</v>
      </c>
      <c r="C31" s="66" t="e">
        <f>'M Q'!AC10</f>
        <v>#N/A</v>
      </c>
      <c r="D31" s="66" t="e">
        <f>'M Q'!AD10</f>
        <v>#N/A</v>
      </c>
      <c r="E31" s="66" t="e">
        <f>'M Q'!AE10</f>
        <v>#N/A</v>
      </c>
      <c r="F31" s="66" t="e">
        <f>'M Q'!AF10</f>
        <v>#N/A</v>
      </c>
      <c r="G31" s="66" t="e">
        <f>'M Q'!AG10</f>
        <v>#N/A</v>
      </c>
      <c r="H31" s="11"/>
      <c r="I31" s="69" t="e">
        <f>N31+0.0001*O31+0.0000001*M31+0.0000000001*L31</f>
        <v>#N/A</v>
      </c>
      <c r="J31" s="67" t="e">
        <f>'M Q'!AB11</f>
        <v>#N/A</v>
      </c>
      <c r="K31" s="67" t="e">
        <f>'M Q'!AC11</f>
        <v>#N/A</v>
      </c>
      <c r="L31" s="67" t="e">
        <f>'M Q'!AD11</f>
        <v>#N/A</v>
      </c>
      <c r="M31" s="67" t="e">
        <f>'M Q'!AE11</f>
        <v>#N/A</v>
      </c>
      <c r="N31" s="67" t="e">
        <f>'M Q'!AF11</f>
        <v>#N/A</v>
      </c>
      <c r="O31" s="67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1" customWidth="1"/>
    <col min="2" max="2" width="25.625" style="201" customWidth="1"/>
    <col min="3" max="5" width="10.875" style="201" customWidth="1"/>
    <col min="6" max="6" width="8.5" style="201" customWidth="1"/>
    <col min="7" max="7" width="3.625" style="201" customWidth="1"/>
    <col min="8" max="8" width="25.625" style="201" customWidth="1"/>
    <col min="9" max="11" width="10.625" style="201" customWidth="1"/>
    <col min="12" max="12" width="8.5" style="201" customWidth="1"/>
    <col min="13" max="13" width="5.625" style="201" customWidth="1"/>
    <col min="14" max="16384" width="6.875" style="201"/>
  </cols>
  <sheetData>
    <row r="1" spans="1:14" ht="50.1" customHeight="1" thickBot="1">
      <c r="A1" s="200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0"/>
      <c r="N1" s="200"/>
    </row>
    <row r="2" spans="1:14" ht="21.95" customHeight="1" thickBot="1">
      <c r="A2" s="202"/>
      <c r="B2" s="203" t="s">
        <v>14</v>
      </c>
      <c r="C2" s="289" t="str">
        <f>'Clb Q (2)'!C1</f>
        <v>LA SALESIENNE 1</v>
      </c>
      <c r="D2" s="290"/>
      <c r="E2" s="290"/>
      <c r="F2" s="204">
        <f>'Clb Q (2)'!F1</f>
        <v>1464.7</v>
      </c>
      <c r="G2" s="202"/>
      <c r="H2" s="205" t="str">
        <f>IF(INFO!B8&gt;7,"CLUB N°8","")</f>
        <v/>
      </c>
      <c r="I2" s="289" t="str">
        <f>IF(INFO!B8&gt;7,'Clb Q (2)'!K1,"")</f>
        <v/>
      </c>
      <c r="J2" s="290"/>
      <c r="K2" s="290"/>
      <c r="L2" s="204" t="str">
        <f>IF(INFO!B8&gt;7,'Clb Q (2)'!N1,"")</f>
        <v/>
      </c>
      <c r="M2" s="202"/>
    </row>
    <row r="3" spans="1:14" ht="21.95" customHeight="1" thickBot="1">
      <c r="A3" s="206"/>
      <c r="B3" s="205" t="s">
        <v>15</v>
      </c>
      <c r="C3" s="207" t="s">
        <v>16</v>
      </c>
      <c r="D3" s="208" t="s">
        <v>33</v>
      </c>
      <c r="E3" s="209" t="s">
        <v>35</v>
      </c>
      <c r="F3" s="205" t="s">
        <v>36</v>
      </c>
      <c r="G3" s="202"/>
      <c r="H3" s="205" t="s">
        <v>15</v>
      </c>
      <c r="I3" s="207" t="s">
        <v>16</v>
      </c>
      <c r="J3" s="208" t="s">
        <v>33</v>
      </c>
      <c r="K3" s="209" t="s">
        <v>35</v>
      </c>
      <c r="L3" s="205" t="s">
        <v>36</v>
      </c>
      <c r="M3" s="202"/>
    </row>
    <row r="4" spans="1:14" ht="21.95" customHeight="1">
      <c r="A4" s="206"/>
      <c r="B4" s="210" t="str">
        <f>VLOOKUP(F4,'Clb Q (2)'!A$3:G$7,2,0)</f>
        <v>Cammarata Annick</v>
      </c>
      <c r="C4" s="211">
        <f>VLOOKUP(F4,'Clb Q (2)'!A$3:G$7,3,0)</f>
        <v>98.5</v>
      </c>
      <c r="D4" s="212">
        <f>VLOOKUP(F4,'Clb Q (2)'!A$3:G$7,4,0)</f>
        <v>99.9</v>
      </c>
      <c r="E4" s="213">
        <f>VLOOKUP(F4,'Clb Q (2)'!A$3:G$7,5,0)</f>
        <v>99.5</v>
      </c>
      <c r="F4" s="210">
        <f>LARGE('Clb Q (2)'!A$3:A$7,1)</f>
        <v>297.90000995998997</v>
      </c>
      <c r="G4" s="202"/>
      <c r="H4" s="210" t="str">
        <f>IF(INFO!B$8&gt;7,VLOOKUP(L4,'Clb Q (2)'!I$3:O$7,2,0),"")</f>
        <v/>
      </c>
      <c r="I4" s="211" t="str">
        <f>IF(INFO!B$8&gt;7,VLOOKUP(L4,'Clb Q (2)'!I$3:O$7,3,0),"")</f>
        <v/>
      </c>
      <c r="J4" s="212" t="str">
        <f>IF(INFO!B$8&gt;7,VLOOKUP(L4,'Clb Q (2)'!I$3:O$7,4,0),"")</f>
        <v/>
      </c>
      <c r="K4" s="213" t="str">
        <f>IF(INFO!B$8&gt;7,VLOOKUP(L4,'Clb Q (2)'!I$3:O$7,5,0),"")</f>
        <v/>
      </c>
      <c r="L4" s="210" t="str">
        <f>IF(INFO!B$8&gt;7,LARGE('Clb Q (2)'!I$3:I$7,1),"")</f>
        <v/>
      </c>
      <c r="M4" s="202"/>
    </row>
    <row r="5" spans="1:14" ht="21.95" customHeight="1">
      <c r="A5" s="206"/>
      <c r="B5" s="210" t="str">
        <f>VLOOKUP(F5,'Clb Q (2)'!A$3:G$7,2,0)</f>
        <v>Joly Stéphanie</v>
      </c>
      <c r="C5" s="211">
        <f>VLOOKUP(F5,'Clb Q (2)'!A$3:G$7,3,0)</f>
        <v>98.3</v>
      </c>
      <c r="D5" s="212">
        <f>VLOOKUP(F5,'Clb Q (2)'!A$3:G$7,4,0)</f>
        <v>99.5</v>
      </c>
      <c r="E5" s="213">
        <f>VLOOKUP(F5,'Clb Q (2)'!A$3:G$7,5,0)</f>
        <v>98.9</v>
      </c>
      <c r="F5" s="210">
        <f>LARGE('Clb Q (2)'!A$3:A$7,2)</f>
        <v>296.70000989995003</v>
      </c>
      <c r="G5" s="202"/>
      <c r="H5" s="210" t="str">
        <f>IF(INFO!B$8&gt;7,VLOOKUP(L5,'Clb Q (2)'!I$3:O$7,2,0),"")</f>
        <v/>
      </c>
      <c r="I5" s="211" t="str">
        <f>IF(INFO!B$8&gt;7,VLOOKUP(L5,'Clb Q (2)'!I$3:O$7,3,0),"")</f>
        <v/>
      </c>
      <c r="J5" s="212" t="str">
        <f>IF(INFO!B$8&gt;7,VLOOKUP(L5,'Clb Q (2)'!I$3:O$7,4,0),"")</f>
        <v/>
      </c>
      <c r="K5" s="213" t="str">
        <f>IF(INFO!B$8&gt;7,VLOOKUP(L5,'Clb Q (2)'!I$3:O$7,5,0),"")</f>
        <v/>
      </c>
      <c r="L5" s="210" t="str">
        <f>IF(INFO!B$8&gt;7,LARGE('Clb Q (2)'!I$3:I$7,2),"")</f>
        <v/>
      </c>
      <c r="M5" s="202"/>
    </row>
    <row r="6" spans="1:14" ht="21.95" customHeight="1">
      <c r="A6" s="206"/>
      <c r="B6" s="210" t="str">
        <f>VLOOKUP(F6,'Clb Q (2)'!A$3:G$7,2,0)</f>
        <v>Vanelstraete Nathan</v>
      </c>
      <c r="C6" s="211">
        <f>VLOOKUP(F6,'Clb Q (2)'!A$3:G$7,3,0)</f>
        <v>99.9</v>
      </c>
      <c r="D6" s="212">
        <f>VLOOKUP(F6,'Clb Q (2)'!A$3:G$7,4,0)</f>
        <v>97.2</v>
      </c>
      <c r="E6" s="213">
        <f>VLOOKUP(F6,'Clb Q (2)'!A$3:G$7,5,0)</f>
        <v>98</v>
      </c>
      <c r="F6" s="210">
        <f>LARGE('Clb Q (2)'!A$3:A$7,3)</f>
        <v>295.10000980972001</v>
      </c>
      <c r="G6" s="202"/>
      <c r="H6" s="210" t="str">
        <f>IF(INFO!B$8&gt;7,VLOOKUP(L6,'Clb Q (2)'!I$3:O$7,2,0),"")</f>
        <v/>
      </c>
      <c r="I6" s="211" t="str">
        <f>IF(INFO!B$8&gt;7,VLOOKUP(L6,'Clb Q (2)'!I$3:O$7,3,0),"")</f>
        <v/>
      </c>
      <c r="J6" s="212" t="str">
        <f>IF(INFO!B$8&gt;7,VLOOKUP(L6,'Clb Q (2)'!I$3:O$7,4,0),"")</f>
        <v/>
      </c>
      <c r="K6" s="213" t="str">
        <f>IF(INFO!B$8&gt;7,VLOOKUP(L6,'Clb Q (2)'!I$3:O$7,5,0),"")</f>
        <v/>
      </c>
      <c r="L6" s="210" t="str">
        <f>IF(INFO!B$8&gt;7,LARGE('Clb Q (2)'!I$3:I$7,3),"")</f>
        <v/>
      </c>
      <c r="M6" s="202"/>
    </row>
    <row r="7" spans="1:14" ht="21.95" customHeight="1">
      <c r="A7" s="206"/>
      <c r="B7" s="210" t="str">
        <f>VLOOKUP(F7,'Clb Q (2)'!A$3:G$7,2,0)</f>
        <v>Jarcin Nathalie</v>
      </c>
      <c r="C7" s="211">
        <f>VLOOKUP(F7,'Clb Q (2)'!A$3:G$7,3,0)</f>
        <v>93.9</v>
      </c>
      <c r="D7" s="212">
        <f>VLOOKUP(F7,'Clb Q (2)'!A$3:G$7,4,0)</f>
        <v>98.1</v>
      </c>
      <c r="E7" s="213">
        <f>VLOOKUP(F7,'Clb Q (2)'!A$3:G$7,5,0)</f>
        <v>97.4</v>
      </c>
      <c r="F7" s="210">
        <f>LARGE('Clb Q (2)'!A$3:A$7,4)</f>
        <v>289.40000974980995</v>
      </c>
      <c r="G7" s="202"/>
      <c r="H7" s="210" t="str">
        <f>IF(INFO!B$8&gt;7,VLOOKUP(L7,'Clb Q (2)'!I$3:O$7,2,0),"")</f>
        <v/>
      </c>
      <c r="I7" s="211" t="str">
        <f>IF(INFO!B$8&gt;7,VLOOKUP(L7,'Clb Q (2)'!I$3:O$7,3,0),"")</f>
        <v/>
      </c>
      <c r="J7" s="212" t="str">
        <f>IF(INFO!B$8&gt;7,VLOOKUP(L7,'Clb Q (2)'!I$3:O$7,4,0),"")</f>
        <v/>
      </c>
      <c r="K7" s="213" t="str">
        <f>IF(INFO!B$8&gt;7,VLOOKUP(L7,'Clb Q (2)'!I$3:O$7,5,0),"")</f>
        <v/>
      </c>
      <c r="L7" s="210" t="str">
        <f>IF(INFO!B$8&gt;7,LARGE('Clb Q (2)'!I$3:I$7,4),"")</f>
        <v/>
      </c>
      <c r="M7" s="202"/>
    </row>
    <row r="8" spans="1:14" ht="21.95" customHeight="1" thickBot="1">
      <c r="A8" s="206"/>
      <c r="B8" s="214" t="str">
        <f>VLOOKUP(F8,'Clb Q (2)'!A$3:G$7,2,0)</f>
        <v>Batoux Sophie</v>
      </c>
      <c r="C8" s="215">
        <f>VLOOKUP(F8,'Clb Q (2)'!A$3:G$7,3,0)</f>
        <v>93.9</v>
      </c>
      <c r="D8" s="216">
        <f>VLOOKUP(F8,'Clb Q (2)'!A$3:G$7,4,0)</f>
        <v>95.5</v>
      </c>
      <c r="E8" s="217">
        <f>VLOOKUP(F8,'Clb Q (2)'!A$3:G$7,5,0)</f>
        <v>96.2</v>
      </c>
      <c r="F8" s="214">
        <f>LARGE('Clb Q (2)'!A$3:A$7,5)</f>
        <v>285.60000962955002</v>
      </c>
      <c r="G8" s="202"/>
      <c r="H8" s="214" t="str">
        <f>IF(INFO!B$8&gt;7,VLOOKUP(L8,'Clb Q (2)'!I$3:O$7,2,0),"")</f>
        <v/>
      </c>
      <c r="I8" s="215" t="str">
        <f>IF(INFO!B$8&gt;7,VLOOKUP(L8,'Clb Q (2)'!I$3:O$7,3,0),"")</f>
        <v/>
      </c>
      <c r="J8" s="216" t="str">
        <f>IF(INFO!B$8&gt;7,VLOOKUP(L8,'Clb Q (2)'!I$3:O$7,4,0),"")</f>
        <v/>
      </c>
      <c r="K8" s="217" t="str">
        <f>IF(INFO!B$8&gt;7,VLOOKUP(L8,'Clb Q (2)'!I$3:O$7,5,0),"")</f>
        <v/>
      </c>
      <c r="L8" s="214" t="str">
        <f>IF(INFO!B$8&gt;7,LARGE('Clb Q (2)'!I$3:I$7,5),"")</f>
        <v/>
      </c>
      <c r="M8" s="202"/>
    </row>
    <row r="9" spans="1:14" ht="21.95" customHeight="1" thickBot="1">
      <c r="A9" s="218"/>
      <c r="B9" s="219"/>
      <c r="C9" s="202"/>
      <c r="D9" s="202"/>
      <c r="E9" s="202"/>
      <c r="F9" s="219"/>
      <c r="G9" s="202"/>
      <c r="H9" s="219"/>
      <c r="I9" s="202"/>
      <c r="J9" s="202"/>
      <c r="K9" s="202"/>
      <c r="L9" s="219"/>
      <c r="M9" s="202"/>
    </row>
    <row r="10" spans="1:14" ht="21.95" customHeight="1" thickBot="1">
      <c r="A10" s="218"/>
      <c r="B10" s="205" t="s">
        <v>37</v>
      </c>
      <c r="C10" s="289" t="str">
        <f>'Clb Q (2)'!C9</f>
        <v>CTR Rumilly</v>
      </c>
      <c r="D10" s="290"/>
      <c r="E10" s="290"/>
      <c r="F10" s="204">
        <f>'Clb Q (2)'!F9</f>
        <v>1342.1</v>
      </c>
      <c r="G10" s="202"/>
      <c r="H10" s="205" t="str">
        <f>IF(INFO!B8&gt;6,"CLUB N°7","")</f>
        <v/>
      </c>
      <c r="I10" s="289" t="str">
        <f>IF(INFO!B8&gt;6,'Clb Q (2)'!K9,"")</f>
        <v/>
      </c>
      <c r="J10" s="290"/>
      <c r="K10" s="290"/>
      <c r="L10" s="204" t="str">
        <f>IF(INFO!B8&gt;6,'Clb Q (2)'!N9,"")</f>
        <v/>
      </c>
      <c r="M10" s="202"/>
    </row>
    <row r="11" spans="1:14" ht="21.95" customHeight="1" thickBot="1">
      <c r="A11" s="206"/>
      <c r="B11" s="205" t="s">
        <v>15</v>
      </c>
      <c r="C11" s="207" t="s">
        <v>16</v>
      </c>
      <c r="D11" s="208" t="s">
        <v>33</v>
      </c>
      <c r="E11" s="209" t="s">
        <v>35</v>
      </c>
      <c r="F11" s="205" t="s">
        <v>36</v>
      </c>
      <c r="G11" s="202"/>
      <c r="H11" s="205" t="s">
        <v>15</v>
      </c>
      <c r="I11" s="207" t="s">
        <v>16</v>
      </c>
      <c r="J11" s="208" t="s">
        <v>33</v>
      </c>
      <c r="K11" s="209" t="s">
        <v>35</v>
      </c>
      <c r="L11" s="205" t="s">
        <v>36</v>
      </c>
      <c r="M11" s="202"/>
    </row>
    <row r="12" spans="1:14" ht="21.95" customHeight="1">
      <c r="A12" s="206"/>
      <c r="B12" s="220" t="str">
        <f>VLOOKUP(F12,'Clb Q (2)'!A$11:G$15,2,0)</f>
        <v>Aymard Léane</v>
      </c>
      <c r="C12" s="211">
        <f>VLOOKUP(F12,'Clb Q (2)'!A$11:G$15,3,0)</f>
        <v>94.7</v>
      </c>
      <c r="D12" s="212">
        <f>VLOOKUP(F12,'Clb Q (2)'!A$11:G$15,4,0)</f>
        <v>97.3</v>
      </c>
      <c r="E12" s="213">
        <f>VLOOKUP(F12,'Clb Q (2)'!A$11:G$15,5,0)</f>
        <v>92.1</v>
      </c>
      <c r="F12" s="210">
        <f>LARGE('Clb Q (2)'!A$11:A$15,1)</f>
        <v>284.10000921973</v>
      </c>
      <c r="G12" s="202"/>
      <c r="H12" s="210" t="str">
        <f>IF(INFO!B$8&gt;6,VLOOKUP(L12,'Clb Q (2)'!I$11:O$15,2,0),"")</f>
        <v/>
      </c>
      <c r="I12" s="211" t="str">
        <f>IF(INFO!B$8&gt;6,VLOOKUP(L12,'Clb Q (2)'!I$11:O$15,3,0),"")</f>
        <v/>
      </c>
      <c r="J12" s="212" t="str">
        <f>IF(INFO!B$8&gt;6,VLOOKUP(L12,'Clb Q (2)'!I$11:O$15,4,0),"")</f>
        <v/>
      </c>
      <c r="K12" s="213" t="str">
        <f>IF(INFO!B$8&gt;6,VLOOKUP(L12,'Clb Q (2)'!I$11:O$15,5,0),"")</f>
        <v/>
      </c>
      <c r="L12" s="210" t="str">
        <f>IF(INFO!B$8&gt;6,LARGE('Clb Q (2)'!I$11:I$15,1),"")</f>
        <v/>
      </c>
      <c r="M12" s="202"/>
    </row>
    <row r="13" spans="1:14" ht="21.95" customHeight="1">
      <c r="A13" s="206"/>
      <c r="B13" s="210" t="str">
        <f>VLOOKUP(F13,'Clb Q (2)'!A$11:G$15,2,0)</f>
        <v>Martinez Agathe</v>
      </c>
      <c r="C13" s="211">
        <f>VLOOKUP(F13,'Clb Q (2)'!A$11:G$15,3,0)</f>
        <v>97.6</v>
      </c>
      <c r="D13" s="212">
        <f>VLOOKUP(F13,'Clb Q (2)'!A$11:G$15,4,0)</f>
        <v>83.4</v>
      </c>
      <c r="E13" s="213">
        <f>VLOOKUP(F13,'Clb Q (2)'!A$11:G$15,5,0)</f>
        <v>91.9</v>
      </c>
      <c r="F13" s="210">
        <f>LARGE('Clb Q (2)'!A$11:A$15,2)</f>
        <v>272.90000919834</v>
      </c>
      <c r="G13" s="202"/>
      <c r="H13" s="210" t="str">
        <f>IF(INFO!B$8&gt;6,VLOOKUP(L13,'Clb Q (2)'!I$11:O$15,2,0),"")</f>
        <v/>
      </c>
      <c r="I13" s="211" t="str">
        <f>IF(INFO!B$8&gt;6,VLOOKUP(L13,'Clb Q (2)'!I$11:O$15,3,0),"")</f>
        <v/>
      </c>
      <c r="J13" s="212" t="str">
        <f>IF(INFO!B$8&gt;6,VLOOKUP(L13,'Clb Q (2)'!I$11:O$15,4,0),"")</f>
        <v/>
      </c>
      <c r="K13" s="213" t="str">
        <f>IF(INFO!B$8&gt;6,VLOOKUP(L13,'Clb Q (2)'!I$11:O$15,5,0),"")</f>
        <v/>
      </c>
      <c r="L13" s="210" t="str">
        <f>IF(INFO!B$8&gt;6,LARGE('Clb Q (2)'!I$11:I$15,2),"")</f>
        <v/>
      </c>
      <c r="M13" s="202"/>
    </row>
    <row r="14" spans="1:14" ht="21.95" customHeight="1">
      <c r="A14" s="206"/>
      <c r="B14" s="210" t="str">
        <f>VLOOKUP(F14,'Clb Q (2)'!A$11:G$15,2,0)</f>
        <v>Letournel Solène</v>
      </c>
      <c r="C14" s="211">
        <f>VLOOKUP(F14,'Clb Q (2)'!A$11:G$15,3,0)</f>
        <v>93</v>
      </c>
      <c r="D14" s="212">
        <f>VLOOKUP(F14,'Clb Q (2)'!A$11:G$15,4,0)</f>
        <v>86.9</v>
      </c>
      <c r="E14" s="213">
        <f>VLOOKUP(F14,'Clb Q (2)'!A$11:G$15,5,0)</f>
        <v>92.1</v>
      </c>
      <c r="F14" s="210">
        <f>LARGE('Clb Q (2)'!A$11:A$15,3)</f>
        <v>272.00000921868997</v>
      </c>
      <c r="G14" s="202"/>
      <c r="H14" s="210" t="str">
        <f>IF(INFO!B$8&gt;6,VLOOKUP(L14,'Clb Q (2)'!I$11:O$15,2,0),"")</f>
        <v/>
      </c>
      <c r="I14" s="211" t="str">
        <f>IF(INFO!B$8&gt;6,VLOOKUP(L14,'Clb Q (2)'!I$11:O$15,3,0),"")</f>
        <v/>
      </c>
      <c r="J14" s="212" t="str">
        <f>IF(INFO!B$8&gt;6,VLOOKUP(L14,'Clb Q (2)'!I$11:O$15,4,0),"")</f>
        <v/>
      </c>
      <c r="K14" s="213" t="str">
        <f>IF(INFO!B$8&gt;6,VLOOKUP(L14,'Clb Q (2)'!I$11:O$15,5,0),"")</f>
        <v/>
      </c>
      <c r="L14" s="210" t="str">
        <f>IF(INFO!B$8&gt;6,LARGE('Clb Q (2)'!I$11:I$15,3),"")</f>
        <v/>
      </c>
      <c r="M14" s="202"/>
    </row>
    <row r="15" spans="1:14" ht="21.95" customHeight="1">
      <c r="A15" s="206"/>
      <c r="B15" s="210" t="str">
        <f>VLOOKUP(F15,'Clb Q (2)'!A$11:G$15,2,0)</f>
        <v>Maillet Denis</v>
      </c>
      <c r="C15" s="211">
        <f>VLOOKUP(F15,'Clb Q (2)'!A$11:G$15,3,0)</f>
        <v>87.6</v>
      </c>
      <c r="D15" s="212">
        <f>VLOOKUP(F15,'Clb Q (2)'!A$11:G$15,4,0)</f>
        <v>85.2</v>
      </c>
      <c r="E15" s="213">
        <f>VLOOKUP(F15,'Clb Q (2)'!A$11:G$15,5,0)</f>
        <v>89.3</v>
      </c>
      <c r="F15" s="210">
        <f>LARGE('Clb Q (2)'!A$11:A$15,4)</f>
        <v>262.10000893851998</v>
      </c>
      <c r="G15" s="202"/>
      <c r="H15" s="210" t="str">
        <f>IF(INFO!B$8&gt;6,VLOOKUP(L15,'Clb Q (2)'!I$11:O$15,2,0),"")</f>
        <v/>
      </c>
      <c r="I15" s="211" t="str">
        <f>IF(INFO!B$8&gt;6,VLOOKUP(L15,'Clb Q (2)'!I$11:O$15,3,0),"")</f>
        <v/>
      </c>
      <c r="J15" s="212" t="str">
        <f>IF(INFO!B$8&gt;6,VLOOKUP(L15,'Clb Q (2)'!I$11:O$15,4,0),"")</f>
        <v/>
      </c>
      <c r="K15" s="213" t="str">
        <f>IF(INFO!B$8&gt;6,VLOOKUP(L15,'Clb Q (2)'!I$11:O$15,5,0),"")</f>
        <v/>
      </c>
      <c r="L15" s="210" t="str">
        <f>IF(INFO!B$8&gt;6,LARGE('Clb Q (2)'!I$11:I$15,4),"")</f>
        <v/>
      </c>
      <c r="M15" s="202"/>
    </row>
    <row r="16" spans="1:14" ht="21.95" customHeight="1" thickBot="1">
      <c r="A16" s="206"/>
      <c r="B16" s="214" t="str">
        <f>VLOOKUP(F16,'Clb Q (2)'!A$11:G$15,2,0)</f>
        <v>Greco Laura</v>
      </c>
      <c r="C16" s="215">
        <f>VLOOKUP(F16,'Clb Q (2)'!A$11:G$15,3,0)</f>
        <v>83.4</v>
      </c>
      <c r="D16" s="216">
        <f>VLOOKUP(F16,'Clb Q (2)'!A$11:G$15,4,0)</f>
        <v>80.099999999999994</v>
      </c>
      <c r="E16" s="217">
        <f>VLOOKUP(F16,'Clb Q (2)'!A$11:G$15,5,0)</f>
        <v>87.5</v>
      </c>
      <c r="F16" s="214">
        <f>LARGE('Clb Q (2)'!A$11:A$15,5)</f>
        <v>251.00000875801001</v>
      </c>
      <c r="G16" s="202"/>
      <c r="H16" s="214" t="str">
        <f>IF(INFO!B$8&gt;6,VLOOKUP(L16,'Clb Q (2)'!I$11:O$15,2,0),"")</f>
        <v/>
      </c>
      <c r="I16" s="215" t="str">
        <f>IF(INFO!B$8&gt;6,VLOOKUP(L16,'Clb Q (2)'!I$11:O$15,3,0),"")</f>
        <v/>
      </c>
      <c r="J16" s="216" t="str">
        <f>IF(INFO!B$8&gt;6,VLOOKUP(L16,'Clb Q (2)'!I$11:O$15,4,0),"")</f>
        <v/>
      </c>
      <c r="K16" s="217" t="str">
        <f>IF(INFO!B$8&gt;6,VLOOKUP(L16,'Clb Q (2)'!I$11:O$15,5,0),"")</f>
        <v/>
      </c>
      <c r="L16" s="214" t="str">
        <f>IF(INFO!B$8&gt;6,LARGE('Clb Q (2)'!I$11:I$15,5),"")</f>
        <v/>
      </c>
      <c r="M16" s="202"/>
    </row>
    <row r="17" spans="1:13" ht="21.95" customHeight="1" thickBot="1">
      <c r="A17" s="218"/>
      <c r="B17" s="219"/>
      <c r="C17" s="202"/>
      <c r="D17" s="202"/>
      <c r="E17" s="202"/>
      <c r="F17" s="219"/>
      <c r="G17" s="202"/>
      <c r="H17" s="219"/>
      <c r="I17" s="202"/>
      <c r="J17" s="202"/>
      <c r="K17" s="202"/>
      <c r="L17" s="219"/>
      <c r="M17" s="202"/>
    </row>
    <row r="18" spans="1:13" ht="21.95" customHeight="1" thickBot="1">
      <c r="A18" s="218"/>
      <c r="B18" s="205" t="str">
        <f>IF(INFO!B8&gt;2,"CLUB N°3","")</f>
        <v>CLUB N°3</v>
      </c>
      <c r="C18" s="289" t="str">
        <f>IF(INFO!B8&gt;2,'Clb Q (2)'!C17,"")</f>
        <v>LA SALESIENNE HM</v>
      </c>
      <c r="D18" s="290"/>
      <c r="E18" s="290"/>
      <c r="F18" s="204">
        <f>IF(INFO!B8&gt;2,'Clb Q (2)'!F17,"")</f>
        <v>1331.1999999999998</v>
      </c>
      <c r="G18" s="202"/>
      <c r="H18" s="205" t="str">
        <f>IF(INFO!B8&gt;5,"CLUB N°6","")</f>
        <v/>
      </c>
      <c r="I18" s="289" t="str">
        <f>IF(INFO!B8&gt;5,'Clb Q (2)'!K17,"")</f>
        <v/>
      </c>
      <c r="J18" s="290"/>
      <c r="K18" s="290"/>
      <c r="L18" s="204" t="str">
        <f>IF(INFO!B8&gt;5,'Clb Q (2)'!N17,"")</f>
        <v/>
      </c>
      <c r="M18" s="202"/>
    </row>
    <row r="19" spans="1:13" ht="21.95" customHeight="1" thickBot="1">
      <c r="A19" s="206"/>
      <c r="B19" s="205" t="s">
        <v>15</v>
      </c>
      <c r="C19" s="207" t="s">
        <v>16</v>
      </c>
      <c r="D19" s="208" t="s">
        <v>33</v>
      </c>
      <c r="E19" s="209" t="s">
        <v>35</v>
      </c>
      <c r="F19" s="205" t="s">
        <v>36</v>
      </c>
      <c r="G19" s="202"/>
      <c r="H19" s="205" t="s">
        <v>15</v>
      </c>
      <c r="I19" s="207" t="s">
        <v>16</v>
      </c>
      <c r="J19" s="208" t="s">
        <v>33</v>
      </c>
      <c r="K19" s="209" t="s">
        <v>35</v>
      </c>
      <c r="L19" s="205" t="s">
        <v>36</v>
      </c>
      <c r="M19" s="202"/>
    </row>
    <row r="20" spans="1:13" ht="21.95" customHeight="1">
      <c r="A20" s="206"/>
      <c r="B20" s="210" t="str">
        <f>IF(INFO!B$8&gt;2,VLOOKUP(F20,'Clb Q (2)'!A$19:G$23,2,0),"")</f>
        <v>Abbe Timéo</v>
      </c>
      <c r="C20" s="211">
        <f>IF(INFO!B$8&gt;2,VLOOKUP(F20,'Clb Q (2)'!A$19:G$23,3,0),"")</f>
        <v>97.6</v>
      </c>
      <c r="D20" s="212">
        <f>IF(INFO!B$8&gt;2,VLOOKUP(F20,'Clb Q (2)'!A$19:G$23,4,0),"")</f>
        <v>97.1</v>
      </c>
      <c r="E20" s="213">
        <f>IF(INFO!B$8&gt;2,VLOOKUP(F20,'Clb Q (2)'!A$19:G$23,5,0),"")</f>
        <v>100</v>
      </c>
      <c r="F20" s="210">
        <f>IF(INFO!B$8&gt;2,LARGE('Clb Q (2)'!A$19:A$23,1),"")</f>
        <v>294.70001000970996</v>
      </c>
      <c r="G20" s="202"/>
      <c r="H20" s="210" t="str">
        <f>IF(INFO!B$8&gt;5,VLOOKUP(L20,'Clb Q (2)'!I$19:O$23,2,0),"")</f>
        <v/>
      </c>
      <c r="I20" s="211" t="str">
        <f>IF(INFO!B$8&gt;5,VLOOKUP(L20,'Clb Q (2)'!I$19:O$23,3,0),"")</f>
        <v/>
      </c>
      <c r="J20" s="212" t="str">
        <f>IF(INFO!B$8&gt;5,VLOOKUP(L20,'Clb Q (2)'!I$19:O$23,4,0),"")</f>
        <v/>
      </c>
      <c r="K20" s="213" t="str">
        <f>IF(INFO!B$8&gt;5,VLOOKUP(L20,'Clb Q (2)'!I$19:O$23,5,0),"")</f>
        <v/>
      </c>
      <c r="L20" s="210" t="str">
        <f>IF(INFO!B$8&gt;5,LARGE('Clb Q (2)'!I$19:I$23,1),"")</f>
        <v/>
      </c>
      <c r="M20" s="202"/>
    </row>
    <row r="21" spans="1:13" ht="21.95" customHeight="1">
      <c r="A21" s="206"/>
      <c r="B21" s="210" t="str">
        <f>IF(INFO!B$8&gt;2,VLOOKUP(F21,'Clb Q (2)'!A$19:G$23,2,0),"")</f>
        <v>Hochart Pierre</v>
      </c>
      <c r="C21" s="211">
        <f>IF(INFO!B$8&gt;2,VLOOKUP(F21,'Clb Q (2)'!A$19:G$23,3,0),"")</f>
        <v>95.9</v>
      </c>
      <c r="D21" s="212">
        <f>IF(INFO!B$8&gt;2,VLOOKUP(F21,'Clb Q (2)'!A$19:G$23,4,0),"")</f>
        <v>97.1</v>
      </c>
      <c r="E21" s="213">
        <f>IF(INFO!B$8&gt;2,VLOOKUP(F21,'Clb Q (2)'!A$19:G$23,5,0),"")</f>
        <v>98.6</v>
      </c>
      <c r="F21" s="210">
        <f>IF(INFO!B$8&gt;2,LARGE('Clb Q (2)'!A$19:A$23,2),"")</f>
        <v>291.60000986970999</v>
      </c>
      <c r="G21" s="202"/>
      <c r="H21" s="210" t="str">
        <f>IF(INFO!B$8&gt;5,VLOOKUP(L21,'Clb Q (2)'!I$19:O$23,2,0),"")</f>
        <v/>
      </c>
      <c r="I21" s="211" t="str">
        <f>IF(INFO!B$8&gt;5,VLOOKUP(L21,'Clb Q (2)'!I$19:O$23,3,0),"")</f>
        <v/>
      </c>
      <c r="J21" s="212" t="str">
        <f>IF(INFO!B$8&gt;5,VLOOKUP(L21,'Clb Q (2)'!I$19:O$23,4,0),"")</f>
        <v/>
      </c>
      <c r="K21" s="213" t="str">
        <f>IF(INFO!B$8&gt;5,VLOOKUP(L21,'Clb Q (2)'!I$19:O$23,5,0),"")</f>
        <v/>
      </c>
      <c r="L21" s="210" t="str">
        <f>IF(INFO!B$8&gt;5,LARGE('Clb Q (2)'!I$19:I$23,2),"")</f>
        <v/>
      </c>
      <c r="M21" s="202"/>
    </row>
    <row r="22" spans="1:13" ht="21.95" customHeight="1">
      <c r="A22" s="206"/>
      <c r="B22" s="210" t="str">
        <f>IF(INFO!B$8&gt;2,VLOOKUP(F22,'Clb Q (2)'!A$19:G$23,2,0),"")</f>
        <v>Legal Adeline</v>
      </c>
      <c r="C22" s="211">
        <f>IF(INFO!B$8&gt;2,VLOOKUP(F22,'Clb Q (2)'!A$19:G$23,3,0),"")</f>
        <v>88.6</v>
      </c>
      <c r="D22" s="212">
        <f>IF(INFO!B$8&gt;2,VLOOKUP(F22,'Clb Q (2)'!A$19:G$23,4,0),"")</f>
        <v>84.7</v>
      </c>
      <c r="E22" s="213">
        <f>IF(INFO!B$8&gt;2,VLOOKUP(F22,'Clb Q (2)'!A$19:G$23,5,0),"")</f>
        <v>91.8</v>
      </c>
      <c r="F22" s="210">
        <f>IF(INFO!B$8&gt;2,LARGE('Clb Q (2)'!A$19:A$23,3),"")</f>
        <v>265.10000918847004</v>
      </c>
      <c r="G22" s="202"/>
      <c r="H22" s="210" t="str">
        <f>IF(INFO!B$8&gt;5,VLOOKUP(L22,'Clb Q (2)'!I$19:O$23,2,0),"")</f>
        <v/>
      </c>
      <c r="I22" s="211" t="str">
        <f>IF(INFO!B$8&gt;5,VLOOKUP(L22,'Clb Q (2)'!I$19:O$23,3,0),"")</f>
        <v/>
      </c>
      <c r="J22" s="212" t="str">
        <f>IF(INFO!B$8&gt;5,VLOOKUP(L22,'Clb Q (2)'!I$19:O$23,4,0),"")</f>
        <v/>
      </c>
      <c r="K22" s="213" t="str">
        <f>IF(INFO!B$8&gt;5,VLOOKUP(L22,'Clb Q (2)'!I$19:O$23,5,0),"")</f>
        <v/>
      </c>
      <c r="L22" s="210" t="str">
        <f>IF(INFO!B$8&gt;5,LARGE('Clb Q (2)'!I$19:I$23,3),"")</f>
        <v/>
      </c>
      <c r="M22" s="202"/>
    </row>
    <row r="23" spans="1:13" ht="21.95" customHeight="1">
      <c r="A23" s="206"/>
      <c r="B23" s="210" t="str">
        <f>IF(INFO!B$8&gt;2,VLOOKUP(F23,'Clb Q (2)'!A$19:G$23,2,0),"")</f>
        <v>Ismail Féthi</v>
      </c>
      <c r="C23" s="211">
        <f>IF(INFO!B$8&gt;2,VLOOKUP(F23,'Clb Q (2)'!A$19:G$23,3,0),"")</f>
        <v>78.7</v>
      </c>
      <c r="D23" s="212">
        <f>IF(INFO!B$8&gt;2,VLOOKUP(F23,'Clb Q (2)'!A$19:G$23,4,0),"")</f>
        <v>77.900000000000006</v>
      </c>
      <c r="E23" s="213">
        <f>IF(INFO!B$8&gt;2,VLOOKUP(F23,'Clb Q (2)'!A$19:G$23,5,0),"")</f>
        <v>83.5</v>
      </c>
      <c r="F23" s="210">
        <f>IF(INFO!B$8&gt;2,LARGE('Clb Q (2)'!A$19:A$23,4),"")</f>
        <v>240.10000835779002</v>
      </c>
      <c r="G23" s="202"/>
      <c r="H23" s="210" t="str">
        <f>IF(INFO!B$8&gt;5,VLOOKUP(L23,'Clb Q (2)'!I$19:O$23,2,0),"")</f>
        <v/>
      </c>
      <c r="I23" s="211" t="str">
        <f>IF(INFO!B$8&gt;5,VLOOKUP(L23,'Clb Q (2)'!I$19:O$23,3,0),"")</f>
        <v/>
      </c>
      <c r="J23" s="212" t="str">
        <f>IF(INFO!B$8&gt;5,VLOOKUP(L23,'Clb Q (2)'!I$19:O$23,4,0),"")</f>
        <v/>
      </c>
      <c r="K23" s="213" t="str">
        <f>IF(INFO!B$8&gt;5,VLOOKUP(L23,'Clb Q (2)'!I$19:O$23,5,0),"")</f>
        <v/>
      </c>
      <c r="L23" s="210" t="str">
        <f>IF(INFO!B$8&gt;5,LARGE('Clb Q (2)'!I$19:I$23,4),"")</f>
        <v/>
      </c>
      <c r="M23" s="202"/>
    </row>
    <row r="24" spans="1:13" ht="21.95" customHeight="1" thickBot="1">
      <c r="A24" s="206"/>
      <c r="B24" s="214" t="str">
        <f>IF(INFO!B$8&gt;2,VLOOKUP(F24,'Clb Q (2)'!A$19:G$23,2,0),"")</f>
        <v>Montauriol Ludovic</v>
      </c>
      <c r="C24" s="215">
        <f>IF(INFO!B$8&gt;2,VLOOKUP(F24,'Clb Q (2)'!A$19:G$23,3,0),"")</f>
        <v>71.400000000000006</v>
      </c>
      <c r="D24" s="216">
        <f>IF(INFO!B$8&gt;2,VLOOKUP(F24,'Clb Q (2)'!A$19:G$23,4,0),"")</f>
        <v>80.8</v>
      </c>
      <c r="E24" s="217">
        <f>IF(INFO!B$8&gt;2,VLOOKUP(F24,'Clb Q (2)'!A$19:G$23,5,0),"")</f>
        <v>87.5</v>
      </c>
      <c r="F24" s="214">
        <f>IF(INFO!B$8&gt;2,LARGE('Clb Q (2)'!A$19:A$23,5),"")</f>
        <v>239.70000875808</v>
      </c>
      <c r="G24" s="202"/>
      <c r="H24" s="214" t="str">
        <f>IF(INFO!B$8&gt;5,VLOOKUP(L24,'Clb Q (2)'!I$19:O$23,2,0),"")</f>
        <v/>
      </c>
      <c r="I24" s="215" t="str">
        <f>IF(INFO!B$8&gt;5,VLOOKUP(L24,'Clb Q (2)'!I$19:O$23,3,0),"")</f>
        <v/>
      </c>
      <c r="J24" s="216" t="str">
        <f>IF(INFO!B$8&gt;5,VLOOKUP(L24,'Clb Q (2)'!I$19:O$23,4,0),"")</f>
        <v/>
      </c>
      <c r="K24" s="217" t="str">
        <f>IF(INFO!B$8&gt;5,VLOOKUP(L24,'Clb Q (2)'!I$19:O$23,5,0),"")</f>
        <v/>
      </c>
      <c r="L24" s="214" t="str">
        <f>IF(INFO!B$8&gt;5,LARGE('Clb Q (2)'!I$19:I$23,5),"")</f>
        <v/>
      </c>
      <c r="M24" s="202"/>
    </row>
    <row r="25" spans="1:13" ht="21.95" customHeight="1" thickBot="1">
      <c r="A25" s="218"/>
      <c r="B25" s="219"/>
      <c r="C25" s="202"/>
      <c r="D25" s="202"/>
      <c r="E25" s="202"/>
      <c r="F25" s="219"/>
      <c r="G25" s="202"/>
      <c r="H25" s="219"/>
      <c r="I25" s="202"/>
      <c r="J25" s="202"/>
      <c r="K25" s="202"/>
      <c r="L25" s="219"/>
      <c r="M25" s="202"/>
    </row>
    <row r="26" spans="1:13" ht="21.95" customHeight="1" thickBot="1">
      <c r="A26" s="218"/>
      <c r="B26" s="205" t="str">
        <f>IF(INFO!B8&gt;3,"CLUB N°4","")</f>
        <v/>
      </c>
      <c r="C26" s="289" t="str">
        <f>IF(INFO!B8&gt;3,'Clb Q (2)'!C25,"")</f>
        <v/>
      </c>
      <c r="D26" s="290"/>
      <c r="E26" s="290"/>
      <c r="F26" s="204" t="str">
        <f>IF(INFO!B8&gt;3,'Clb Q (2)'!F25,"")</f>
        <v/>
      </c>
      <c r="G26" s="202"/>
      <c r="H26" s="205" t="str">
        <f>IF(INFO!B8&gt;4,"CLUB N°5","")</f>
        <v/>
      </c>
      <c r="I26" s="289" t="str">
        <f>IF(INFO!B8&gt;4,'Clb Q (2)'!K25,"")</f>
        <v/>
      </c>
      <c r="J26" s="290"/>
      <c r="K26" s="290"/>
      <c r="L26" s="204" t="str">
        <f>IF(INFO!B8&gt;4,'Clb Q (2)'!N25,"")</f>
        <v/>
      </c>
      <c r="M26" s="202"/>
    </row>
    <row r="27" spans="1:13" ht="21.95" customHeight="1" thickBot="1">
      <c r="A27" s="206"/>
      <c r="B27" s="205" t="s">
        <v>15</v>
      </c>
      <c r="C27" s="207" t="s">
        <v>16</v>
      </c>
      <c r="D27" s="208" t="s">
        <v>33</v>
      </c>
      <c r="E27" s="209" t="s">
        <v>35</v>
      </c>
      <c r="F27" s="205" t="s">
        <v>36</v>
      </c>
      <c r="G27" s="202"/>
      <c r="H27" s="205" t="s">
        <v>15</v>
      </c>
      <c r="I27" s="207" t="s">
        <v>16</v>
      </c>
      <c r="J27" s="208" t="s">
        <v>33</v>
      </c>
      <c r="K27" s="209" t="s">
        <v>35</v>
      </c>
      <c r="L27" s="205" t="s">
        <v>36</v>
      </c>
      <c r="M27" s="202"/>
    </row>
    <row r="28" spans="1:13" ht="21.95" customHeight="1">
      <c r="A28" s="206"/>
      <c r="B28" s="210" t="str">
        <f>IF(INFO!B$8&gt;3,VLOOKUP(F28,'Clb Q (2)'!A$27:G$31,2,0),"")</f>
        <v/>
      </c>
      <c r="C28" s="211" t="str">
        <f>IF(INFO!B$8&gt;3,VLOOKUP(F28,'Clb Q (2)'!A$27:G$31,3,0),"")</f>
        <v/>
      </c>
      <c r="D28" s="212" t="str">
        <f>IF(INFO!B$8&gt;3,VLOOKUP(F28,'Clb Q (2)'!A$27:G$31,4,0),"")</f>
        <v/>
      </c>
      <c r="E28" s="213" t="str">
        <f>IF(INFO!B$8&gt;3,VLOOKUP(F28,'Clb Q (2)'!A$27:G$31,5,0),"")</f>
        <v/>
      </c>
      <c r="F28" s="210" t="str">
        <f>IF(INFO!B$8&gt;3,LARGE('Clb Q (2)'!A$27:A$31,1),"")</f>
        <v/>
      </c>
      <c r="G28" s="202"/>
      <c r="H28" s="210" t="str">
        <f>IF(INFO!B$8&gt;4,VLOOKUP(L28,'Clb Q (2)'!I$27:O$31,2,0),"")</f>
        <v/>
      </c>
      <c r="I28" s="211" t="str">
        <f>IF(INFO!B$8&gt;4,VLOOKUP(L28,'Clb Q (2)'!I$27:O$31,3,0),"")</f>
        <v/>
      </c>
      <c r="J28" s="212" t="str">
        <f>IF(INFO!B$8&gt;4,VLOOKUP(L28,'Clb Q (2)'!I$27:O$31,4,0),"")</f>
        <v/>
      </c>
      <c r="K28" s="213" t="str">
        <f>IF(INFO!B$8&gt;4,VLOOKUP(L28,'Clb Q (2)'!I$27:O$31,5,0),"")</f>
        <v/>
      </c>
      <c r="L28" s="210" t="str">
        <f>IF(INFO!B$8&gt;4,LARGE('Clb Q (2)'!I$27:I$31,1),"")</f>
        <v/>
      </c>
      <c r="M28" s="202"/>
    </row>
    <row r="29" spans="1:13" ht="21.95" customHeight="1">
      <c r="A29" s="206"/>
      <c r="B29" s="210" t="str">
        <f>IF(INFO!B$8&gt;3,VLOOKUP(F29,'Clb Q (2)'!A$27:G$31,2,0),"")</f>
        <v/>
      </c>
      <c r="C29" s="211" t="str">
        <f>IF(INFO!B$8&gt;3,VLOOKUP(F29,'Clb Q (2)'!A$27:G$31,3,0),"")</f>
        <v/>
      </c>
      <c r="D29" s="212" t="str">
        <f>IF(INFO!B$8&gt;3,VLOOKUP(F29,'Clb Q (2)'!A$27:G$31,4,0),"")</f>
        <v/>
      </c>
      <c r="E29" s="213" t="str">
        <f>IF(INFO!B$8&gt;3,VLOOKUP(F29,'Clb Q (2)'!A$27:G$31,5,0),"")</f>
        <v/>
      </c>
      <c r="F29" s="210" t="str">
        <f>IF(INFO!B$8&gt;3,LARGE('Clb Q (2)'!A$27:A$31,2),"")</f>
        <v/>
      </c>
      <c r="G29" s="202"/>
      <c r="H29" s="210" t="str">
        <f>IF(INFO!B$8&gt;4,VLOOKUP(L29,'Clb Q (2)'!I$27:O$31,2,0),"")</f>
        <v/>
      </c>
      <c r="I29" s="211" t="str">
        <f>IF(INFO!B$8&gt;4,VLOOKUP(L29,'Clb Q (2)'!I$27:O$31,3,0),"")</f>
        <v/>
      </c>
      <c r="J29" s="212" t="str">
        <f>IF(INFO!B$8&gt;4,VLOOKUP(L29,'Clb Q (2)'!I$27:O$31,4,0),"")</f>
        <v/>
      </c>
      <c r="K29" s="213" t="str">
        <f>IF(INFO!B$8&gt;4,VLOOKUP(L29,'Clb Q (2)'!I$27:O$31,5,0),"")</f>
        <v/>
      </c>
      <c r="L29" s="210" t="str">
        <f>IF(INFO!B$8&gt;4,LARGE('Clb Q (2)'!I$27:I$31,2),"")</f>
        <v/>
      </c>
      <c r="M29" s="202"/>
    </row>
    <row r="30" spans="1:13" ht="21.95" customHeight="1">
      <c r="A30" s="206"/>
      <c r="B30" s="210" t="str">
        <f>IF(INFO!B$8&gt;3,VLOOKUP(F30,'Clb Q (2)'!A$27:G$31,2,0),"")</f>
        <v/>
      </c>
      <c r="C30" s="211" t="str">
        <f>IF(INFO!B$8&gt;3,VLOOKUP(F30,'Clb Q (2)'!A$27:G$31,3,0),"")</f>
        <v/>
      </c>
      <c r="D30" s="212" t="str">
        <f>IF(INFO!B$8&gt;3,VLOOKUP(F30,'Clb Q (2)'!A$27:G$31,4,0),"")</f>
        <v/>
      </c>
      <c r="E30" s="213" t="str">
        <f>IF(INFO!B$8&gt;3,VLOOKUP(F30,'Clb Q (2)'!A$27:G$31,5,0),"")</f>
        <v/>
      </c>
      <c r="F30" s="210" t="str">
        <f>IF(INFO!B$8&gt;3,LARGE('Clb Q (2)'!A$27:A$31,3),"")</f>
        <v/>
      </c>
      <c r="G30" s="202"/>
      <c r="H30" s="210" t="str">
        <f>IF(INFO!B$8&gt;4,VLOOKUP(L30,'Clb Q (2)'!I$27:O$31,2,0),"")</f>
        <v/>
      </c>
      <c r="I30" s="211" t="str">
        <f>IF(INFO!B$8&gt;4,VLOOKUP(L30,'Clb Q (2)'!I$27:O$31,3,0),"")</f>
        <v/>
      </c>
      <c r="J30" s="212" t="str">
        <f>IF(INFO!B$8&gt;4,VLOOKUP(L30,'Clb Q (2)'!I$27:O$31,4,0),"")</f>
        <v/>
      </c>
      <c r="K30" s="213" t="str">
        <f>IF(INFO!B$8&gt;4,VLOOKUP(L30,'Clb Q (2)'!I$27:O$31,5,0),"")</f>
        <v/>
      </c>
      <c r="L30" s="210" t="str">
        <f>IF(INFO!B$8&gt;4,LARGE('Clb Q (2)'!I$27:I$31,3),"")</f>
        <v/>
      </c>
      <c r="M30" s="202"/>
    </row>
    <row r="31" spans="1:13" ht="21.95" customHeight="1">
      <c r="A31" s="206"/>
      <c r="B31" s="210" t="str">
        <f>IF(INFO!B$8&gt;3,VLOOKUP(F31,'Clb Q (2)'!A$27:G$31,2,0),"")</f>
        <v/>
      </c>
      <c r="C31" s="211" t="str">
        <f>IF(INFO!B$8&gt;3,VLOOKUP(F31,'Clb Q (2)'!A$27:G$31,3,0),"")</f>
        <v/>
      </c>
      <c r="D31" s="212" t="str">
        <f>IF(INFO!B$8&gt;3,VLOOKUP(F31,'Clb Q (2)'!A$27:G$31,4,0),"")</f>
        <v/>
      </c>
      <c r="E31" s="213" t="str">
        <f>IF(INFO!B$8&gt;3,VLOOKUP(F31,'Clb Q (2)'!A$27:G$31,5,0),"")</f>
        <v/>
      </c>
      <c r="F31" s="210" t="str">
        <f>IF(INFO!B$8&gt;3,LARGE('Clb Q (2)'!A$27:A$31,4),"")</f>
        <v/>
      </c>
      <c r="G31" s="202"/>
      <c r="H31" s="210" t="str">
        <f>IF(INFO!B$8&gt;4,VLOOKUP(L31,'Clb Q (2)'!I$27:O$31,2,0),"")</f>
        <v/>
      </c>
      <c r="I31" s="211" t="str">
        <f>IF(INFO!B$8&gt;4,VLOOKUP(L31,'Clb Q (2)'!I$27:O$31,3,0),"")</f>
        <v/>
      </c>
      <c r="J31" s="212" t="str">
        <f>IF(INFO!B$8&gt;4,VLOOKUP(L31,'Clb Q (2)'!I$27:O$31,4,0),"")</f>
        <v/>
      </c>
      <c r="K31" s="213" t="str">
        <f>IF(INFO!B$8&gt;4,VLOOKUP(L31,'Clb Q (2)'!I$27:O$31,5,0),"")</f>
        <v/>
      </c>
      <c r="L31" s="210" t="str">
        <f>IF(INFO!B$8&gt;4,LARGE('Clb Q (2)'!I$27:I$31,4),"")</f>
        <v/>
      </c>
      <c r="M31" s="202"/>
    </row>
    <row r="32" spans="1:13" ht="21.95" customHeight="1" thickBot="1">
      <c r="A32" s="206"/>
      <c r="B32" s="214" t="str">
        <f>IF(INFO!B$8&gt;3,VLOOKUP(F32,'Clb Q (2)'!A$27:G$31,2,0),"")</f>
        <v/>
      </c>
      <c r="C32" s="215" t="str">
        <f>IF(INFO!B$8&gt;3,VLOOKUP(F32,'Clb Q (2)'!A$27:G$31,3,0),"")</f>
        <v/>
      </c>
      <c r="D32" s="216" t="str">
        <f>IF(INFO!B$8&gt;3,VLOOKUP(F32,'Clb Q (2)'!A$27:G$31,4,0),"")</f>
        <v/>
      </c>
      <c r="E32" s="217" t="str">
        <f>IF(INFO!B$8&gt;3,VLOOKUP(F32,'Clb Q (2)'!A$27:G$31,5,0),"")</f>
        <v/>
      </c>
      <c r="F32" s="214" t="str">
        <f>IF(INFO!B$8&gt;3,LARGE('Clb Q (2)'!A$27:A$31,5),"")</f>
        <v/>
      </c>
      <c r="G32" s="202"/>
      <c r="H32" s="214" t="str">
        <f>IF(INFO!B$8&gt;4,VLOOKUP(L32,'Clb Q (2)'!I$27:O$31,2,0),"")</f>
        <v/>
      </c>
      <c r="I32" s="215" t="str">
        <f>IF(INFO!B$8&gt;4,VLOOKUP(L32,'Clb Q (2)'!I$27:O$31,3,0),"")</f>
        <v/>
      </c>
      <c r="J32" s="216" t="str">
        <f>IF(INFO!B$8&gt;4,VLOOKUP(L32,'Clb Q (2)'!I$27:O$31,4,0),"")</f>
        <v/>
      </c>
      <c r="K32" s="217" t="str">
        <f>IF(INFO!B$8&gt;4,VLOOKUP(L32,'Clb Q (2)'!I$27:O$31,5,0),"")</f>
        <v/>
      </c>
      <c r="L32" s="214" t="str">
        <f>IF(INFO!B$8&gt;4,LARGE('Clb Q (2)'!I$27:I$31,5),"")</f>
        <v/>
      </c>
      <c r="M32" s="20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62" activePane="bottomLeft" state="frozenSplit"/>
      <selection activeCell="B12" sqref="B12"/>
      <selection pane="bottomLeft" activeCell="J76" sqref="J76"/>
    </sheetView>
  </sheetViews>
  <sheetFormatPr baseColWidth="10" defaultColWidth="8.125" defaultRowHeight="27.95" customHeight="1" outlineLevelRow="1"/>
  <cols>
    <col min="1" max="2" width="8.125" style="26" customWidth="1"/>
    <col min="3" max="3" width="10.625" style="26" customWidth="1"/>
    <col min="4" max="5" width="8.125" style="26" customWidth="1"/>
    <col min="6" max="7" width="6.625" style="26" customWidth="1"/>
    <col min="8" max="9" width="8.125" style="26" customWidth="1"/>
    <col min="10" max="10" width="10.625" style="26" customWidth="1"/>
    <col min="11" max="12" width="6.625" style="26" customWidth="1"/>
    <col min="13" max="13" width="10.625" style="26" customWidth="1"/>
    <col min="14" max="15" width="8.125" style="26" customWidth="1"/>
    <col min="16" max="17" width="6.625" style="26" customWidth="1"/>
    <col min="18" max="19" width="8.125" style="26" customWidth="1"/>
    <col min="20" max="20" width="10.625" style="26" customWidth="1"/>
    <col min="21" max="16384" width="8.125" style="26"/>
  </cols>
  <sheetData>
    <row r="1" spans="2:22" ht="29.1" customHeight="1"/>
    <row r="2" spans="2:22" ht="63">
      <c r="B2" s="310" t="str">
        <f>CONCATENATE(INFO!B7," - ",INFO!B9)</f>
        <v>CARABINE 10M - DAUPHINE SAVOIE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2" ht="29.1" customHeight="1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4" spans="2:22" ht="60" customHeight="1" thickBot="1">
      <c r="B4" s="317" t="s">
        <v>54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2:22" s="27" customFormat="1" ht="27.95" customHeight="1" thickBot="1">
      <c r="C5" s="314" t="str">
        <f>'Clb Q'!C2</f>
        <v>LA SALESIENNE 1</v>
      </c>
      <c r="D5" s="315"/>
      <c r="E5" s="316"/>
      <c r="F5" s="318" t="s">
        <v>45</v>
      </c>
      <c r="G5" s="319"/>
      <c r="H5" s="314" t="str">
        <f>'Clb Q'!I2</f>
        <v/>
      </c>
      <c r="I5" s="315"/>
      <c r="J5" s="316"/>
      <c r="K5" s="36"/>
      <c r="L5" s="28"/>
      <c r="M5" s="314" t="str">
        <f>'Clb Q'!C18</f>
        <v>LA SALESIENNE HM</v>
      </c>
      <c r="N5" s="315"/>
      <c r="O5" s="316"/>
      <c r="P5" s="318" t="s">
        <v>45</v>
      </c>
      <c r="Q5" s="319"/>
      <c r="R5" s="314" t="str">
        <f>'Clb Q'!I18</f>
        <v/>
      </c>
      <c r="S5" s="315"/>
      <c r="T5" s="316"/>
    </row>
    <row r="6" spans="2:22" s="30" customFormat="1" ht="21.95" customHeight="1" outlineLevel="1">
      <c r="C6" s="311" t="str">
        <f>'Clb Q'!B4</f>
        <v>Cammarata Annick</v>
      </c>
      <c r="D6" s="312"/>
      <c r="E6" s="313"/>
      <c r="F6" s="126">
        <v>1</v>
      </c>
      <c r="G6" s="127">
        <v>2</v>
      </c>
      <c r="H6" s="311" t="str">
        <f>'Clb Q'!H4</f>
        <v/>
      </c>
      <c r="I6" s="312"/>
      <c r="J6" s="313"/>
      <c r="K6" s="37"/>
      <c r="L6" s="31"/>
      <c r="M6" s="311" t="str">
        <f>'Clb Q'!B20</f>
        <v>Abbe Timéo</v>
      </c>
      <c r="N6" s="312"/>
      <c r="O6" s="313"/>
      <c r="P6" s="126">
        <v>1</v>
      </c>
      <c r="Q6" s="127">
        <v>2</v>
      </c>
      <c r="R6" s="311" t="str">
        <f>'Clb Q'!H20</f>
        <v/>
      </c>
      <c r="S6" s="312"/>
      <c r="T6" s="313"/>
    </row>
    <row r="7" spans="2:22" s="30" customFormat="1" ht="21.95" customHeight="1" outlineLevel="1">
      <c r="C7" s="311" t="str">
        <f>'Clb Q'!B5</f>
        <v>Joly Stéphanie</v>
      </c>
      <c r="D7" s="312"/>
      <c r="E7" s="313"/>
      <c r="F7" s="128">
        <v>3</v>
      </c>
      <c r="G7" s="129">
        <v>4</v>
      </c>
      <c r="H7" s="311" t="str">
        <f>'Clb Q'!H5</f>
        <v/>
      </c>
      <c r="I7" s="312"/>
      <c r="J7" s="313"/>
      <c r="K7" s="37"/>
      <c r="L7" s="31"/>
      <c r="M7" s="311" t="str">
        <f>'Clb Q'!B21</f>
        <v>Hochart Pierre</v>
      </c>
      <c r="N7" s="312"/>
      <c r="O7" s="313"/>
      <c r="P7" s="128">
        <v>3</v>
      </c>
      <c r="Q7" s="129">
        <v>4</v>
      </c>
      <c r="R7" s="311" t="str">
        <f>'Clb Q'!H21</f>
        <v/>
      </c>
      <c r="S7" s="312"/>
      <c r="T7" s="313"/>
    </row>
    <row r="8" spans="2:22" s="30" customFormat="1" ht="21.95" customHeight="1" outlineLevel="1">
      <c r="C8" s="311" t="str">
        <f>'Clb Q'!B6</f>
        <v>Vanelstraete Nathan</v>
      </c>
      <c r="D8" s="312"/>
      <c r="E8" s="313"/>
      <c r="F8" s="128">
        <v>5</v>
      </c>
      <c r="G8" s="129">
        <v>6</v>
      </c>
      <c r="H8" s="311" t="str">
        <f>'Clb Q'!H6</f>
        <v/>
      </c>
      <c r="I8" s="312"/>
      <c r="J8" s="313"/>
      <c r="K8" s="37"/>
      <c r="L8" s="31"/>
      <c r="M8" s="311" t="str">
        <f>'Clb Q'!B22</f>
        <v>Legal Adeline</v>
      </c>
      <c r="N8" s="312"/>
      <c r="O8" s="313"/>
      <c r="P8" s="128">
        <v>5</v>
      </c>
      <c r="Q8" s="129">
        <v>6</v>
      </c>
      <c r="R8" s="311" t="str">
        <f>'Clb Q'!H22</f>
        <v/>
      </c>
      <c r="S8" s="312"/>
      <c r="T8" s="313"/>
    </row>
    <row r="9" spans="2:22" s="30" customFormat="1" ht="21.95" customHeight="1" outlineLevel="1">
      <c r="C9" s="311" t="str">
        <f>'Clb Q'!B7</f>
        <v>Jarcin Nathalie</v>
      </c>
      <c r="D9" s="312"/>
      <c r="E9" s="313"/>
      <c r="F9" s="128">
        <v>7</v>
      </c>
      <c r="G9" s="129">
        <v>8</v>
      </c>
      <c r="H9" s="311" t="str">
        <f>'Clb Q'!H7</f>
        <v/>
      </c>
      <c r="I9" s="312"/>
      <c r="J9" s="313"/>
      <c r="K9" s="37"/>
      <c r="L9" s="31"/>
      <c r="M9" s="311" t="str">
        <f>'Clb Q'!B23</f>
        <v>Ismail Féthi</v>
      </c>
      <c r="N9" s="312"/>
      <c r="O9" s="313"/>
      <c r="P9" s="128">
        <v>7</v>
      </c>
      <c r="Q9" s="129">
        <v>8</v>
      </c>
      <c r="R9" s="311" t="str">
        <f>'Clb Q'!H23</f>
        <v/>
      </c>
      <c r="S9" s="312"/>
      <c r="T9" s="313"/>
    </row>
    <row r="10" spans="2:22" s="30" customFormat="1" ht="21.95" customHeight="1" outlineLevel="1" thickBot="1">
      <c r="C10" s="311" t="str">
        <f>'Clb Q'!B8</f>
        <v>Batoux Sophie</v>
      </c>
      <c r="D10" s="312"/>
      <c r="E10" s="313"/>
      <c r="F10" s="130">
        <v>9</v>
      </c>
      <c r="G10" s="131">
        <v>10</v>
      </c>
      <c r="H10" s="311" t="str">
        <f>'Clb Q'!H8</f>
        <v/>
      </c>
      <c r="I10" s="312"/>
      <c r="J10" s="313"/>
      <c r="K10" s="37"/>
      <c r="L10" s="31"/>
      <c r="M10" s="311" t="str">
        <f>'Clb Q'!B24</f>
        <v>Montauriol Ludovic</v>
      </c>
      <c r="N10" s="312"/>
      <c r="O10" s="313"/>
      <c r="P10" s="130">
        <v>9</v>
      </c>
      <c r="Q10" s="131">
        <v>10</v>
      </c>
      <c r="R10" s="311" t="str">
        <f>'Clb Q'!H24</f>
        <v/>
      </c>
      <c r="S10" s="312"/>
      <c r="T10" s="313"/>
    </row>
    <row r="11" spans="2:22" ht="21.95" customHeight="1">
      <c r="B11" s="33">
        <f>IF(E11="","",IF(E11&gt;2,1,0))</f>
        <v>0</v>
      </c>
      <c r="C11" s="294">
        <f>IF(E11="","",SUM(B11:B17))</f>
        <v>0</v>
      </c>
      <c r="D11" s="295"/>
      <c r="E11" s="73">
        <v>1</v>
      </c>
      <c r="F11" s="300"/>
      <c r="G11" s="301"/>
      <c r="H11" s="73"/>
      <c r="I11" s="298" t="str">
        <f>IF(H11="","",SUM(K11:K17))</f>
        <v/>
      </c>
      <c r="J11" s="294"/>
      <c r="K11" s="58" t="str">
        <f>IF(H11="","",IF(H11&gt;2,1,0))</f>
        <v/>
      </c>
      <c r="L11" s="33" t="str">
        <f>IF(O11="","",IF(O11&gt;2,1,0))</f>
        <v/>
      </c>
      <c r="M11" s="294" t="str">
        <f>IF(O11="","",SUM(L11:L17))</f>
        <v/>
      </c>
      <c r="N11" s="295"/>
      <c r="O11" s="73"/>
      <c r="P11" s="300"/>
      <c r="Q11" s="301"/>
      <c r="R11" s="73"/>
      <c r="S11" s="298" t="str">
        <f>IF(R11="","",SUM(U11:U17))</f>
        <v/>
      </c>
      <c r="T11" s="294"/>
      <c r="U11" s="58" t="str">
        <f t="shared" ref="U11:U17" si="0">IF(R11="","",IF(R11&gt;2,1,0))</f>
        <v/>
      </c>
      <c r="V11" s="34"/>
    </row>
    <row r="12" spans="2:22" ht="21.95" customHeight="1">
      <c r="B12" s="33">
        <f t="shared" ref="B12:B17" si="1">IF(E12="","",IF(E12&gt;2,1,0))</f>
        <v>0</v>
      </c>
      <c r="C12" s="296"/>
      <c r="D12" s="297"/>
      <c r="E12" s="74">
        <v>1</v>
      </c>
      <c r="F12" s="302"/>
      <c r="G12" s="303"/>
      <c r="H12" s="74"/>
      <c r="I12" s="299"/>
      <c r="J12" s="296"/>
      <c r="K12" s="58" t="str">
        <f t="shared" ref="K12:K17" si="2">IF(H12="","",IF(H12&gt;2,1,0))</f>
        <v/>
      </c>
      <c r="L12" s="33" t="str">
        <f t="shared" ref="L12:L17" si="3">IF(O12="","",IF(O12&gt;2,1,0))</f>
        <v/>
      </c>
      <c r="M12" s="296"/>
      <c r="N12" s="297"/>
      <c r="O12" s="74"/>
      <c r="P12" s="302"/>
      <c r="Q12" s="303"/>
      <c r="R12" s="74"/>
      <c r="S12" s="299"/>
      <c r="T12" s="296"/>
      <c r="U12" s="58" t="str">
        <f t="shared" si="0"/>
        <v/>
      </c>
      <c r="V12" s="34"/>
    </row>
    <row r="13" spans="2:22" ht="21.95" customHeight="1">
      <c r="B13" s="33">
        <f t="shared" si="1"/>
        <v>0</v>
      </c>
      <c r="C13" s="296"/>
      <c r="D13" s="297"/>
      <c r="E13" s="74">
        <v>1</v>
      </c>
      <c r="F13" s="302"/>
      <c r="G13" s="303"/>
      <c r="H13" s="74"/>
      <c r="I13" s="299"/>
      <c r="J13" s="296"/>
      <c r="K13" s="58" t="str">
        <f t="shared" si="2"/>
        <v/>
      </c>
      <c r="L13" s="33" t="str">
        <f t="shared" si="3"/>
        <v/>
      </c>
      <c r="M13" s="296"/>
      <c r="N13" s="297"/>
      <c r="O13" s="74"/>
      <c r="P13" s="302"/>
      <c r="Q13" s="303"/>
      <c r="R13" s="74"/>
      <c r="S13" s="299"/>
      <c r="T13" s="296"/>
      <c r="U13" s="58" t="str">
        <f t="shared" si="0"/>
        <v/>
      </c>
      <c r="V13" s="34"/>
    </row>
    <row r="14" spans="2:22" ht="21.95" customHeight="1">
      <c r="B14" s="33">
        <f t="shared" si="1"/>
        <v>0</v>
      </c>
      <c r="C14" s="296"/>
      <c r="D14" s="297"/>
      <c r="E14" s="74">
        <v>1</v>
      </c>
      <c r="F14" s="302"/>
      <c r="G14" s="303"/>
      <c r="H14" s="74"/>
      <c r="I14" s="299"/>
      <c r="J14" s="296"/>
      <c r="K14" s="58" t="str">
        <f t="shared" si="2"/>
        <v/>
      </c>
      <c r="L14" s="33" t="str">
        <f t="shared" si="3"/>
        <v/>
      </c>
      <c r="M14" s="296"/>
      <c r="N14" s="297"/>
      <c r="O14" s="74"/>
      <c r="P14" s="302"/>
      <c r="Q14" s="303"/>
      <c r="R14" s="74"/>
      <c r="S14" s="299"/>
      <c r="T14" s="296"/>
      <c r="U14" s="58" t="str">
        <f t="shared" si="0"/>
        <v/>
      </c>
      <c r="V14" s="34"/>
    </row>
    <row r="15" spans="2:22" ht="21.95" customHeight="1">
      <c r="B15" s="33">
        <f t="shared" si="1"/>
        <v>0</v>
      </c>
      <c r="C15" s="296"/>
      <c r="D15" s="297"/>
      <c r="E15" s="74">
        <v>1</v>
      </c>
      <c r="F15" s="302"/>
      <c r="G15" s="303"/>
      <c r="H15" s="74"/>
      <c r="I15" s="299"/>
      <c r="J15" s="296"/>
      <c r="K15" s="58" t="str">
        <f t="shared" si="2"/>
        <v/>
      </c>
      <c r="L15" s="33" t="str">
        <f t="shared" si="3"/>
        <v/>
      </c>
      <c r="M15" s="296"/>
      <c r="N15" s="297"/>
      <c r="O15" s="74"/>
      <c r="P15" s="302"/>
      <c r="Q15" s="303"/>
      <c r="R15" s="74"/>
      <c r="S15" s="299"/>
      <c r="T15" s="296"/>
      <c r="U15" s="58" t="str">
        <f t="shared" si="0"/>
        <v/>
      </c>
      <c r="V15" s="34"/>
    </row>
    <row r="16" spans="2:22" ht="21.95" customHeight="1">
      <c r="B16" s="33" t="str">
        <f t="shared" si="1"/>
        <v/>
      </c>
      <c r="C16" s="296"/>
      <c r="D16" s="297"/>
      <c r="E16" s="74"/>
      <c r="F16" s="302"/>
      <c r="G16" s="303"/>
      <c r="H16" s="74"/>
      <c r="I16" s="299"/>
      <c r="J16" s="296"/>
      <c r="K16" s="58" t="str">
        <f t="shared" si="2"/>
        <v/>
      </c>
      <c r="L16" s="33" t="str">
        <f t="shared" si="3"/>
        <v/>
      </c>
      <c r="M16" s="296"/>
      <c r="N16" s="297"/>
      <c r="O16" s="74"/>
      <c r="P16" s="302"/>
      <c r="Q16" s="303"/>
      <c r="R16" s="74"/>
      <c r="S16" s="299"/>
      <c r="T16" s="296"/>
      <c r="U16" s="58" t="str">
        <f t="shared" si="0"/>
        <v/>
      </c>
      <c r="V16" s="34"/>
    </row>
    <row r="17" spans="2:22" ht="21.95" customHeight="1" thickBot="1">
      <c r="B17" s="33" t="str">
        <f t="shared" si="1"/>
        <v/>
      </c>
      <c r="C17" s="296"/>
      <c r="D17" s="297"/>
      <c r="E17" s="75"/>
      <c r="F17" s="302"/>
      <c r="G17" s="303"/>
      <c r="H17" s="75"/>
      <c r="I17" s="299"/>
      <c r="J17" s="296"/>
      <c r="K17" s="58" t="str">
        <f t="shared" si="2"/>
        <v/>
      </c>
      <c r="L17" s="33" t="str">
        <f t="shared" si="3"/>
        <v/>
      </c>
      <c r="M17" s="296"/>
      <c r="N17" s="297"/>
      <c r="O17" s="75"/>
      <c r="P17" s="302"/>
      <c r="Q17" s="303"/>
      <c r="R17" s="75"/>
      <c r="S17" s="299"/>
      <c r="T17" s="296"/>
      <c r="U17" s="58" t="str">
        <f t="shared" si="0"/>
        <v/>
      </c>
      <c r="V17" s="34"/>
    </row>
    <row r="18" spans="2:22" ht="30" customHeight="1" thickBot="1">
      <c r="K18" s="60"/>
      <c r="L18" s="35"/>
      <c r="V18" s="34"/>
    </row>
    <row r="19" spans="2:22" s="27" customFormat="1" ht="27.95" customHeight="1" thickBot="1">
      <c r="C19" s="314" t="str">
        <f>'Clb Q'!I26</f>
        <v/>
      </c>
      <c r="D19" s="315"/>
      <c r="E19" s="316"/>
      <c r="F19" s="318" t="s">
        <v>45</v>
      </c>
      <c r="G19" s="319"/>
      <c r="H19" s="314" t="str">
        <f>'Clb Q'!C26</f>
        <v/>
      </c>
      <c r="I19" s="315"/>
      <c r="J19" s="316"/>
      <c r="K19" s="36"/>
      <c r="L19" s="28"/>
      <c r="M19" s="314" t="str">
        <f>'Clb Q'!I10</f>
        <v/>
      </c>
      <c r="N19" s="315"/>
      <c r="O19" s="316"/>
      <c r="P19" s="318" t="s">
        <v>45</v>
      </c>
      <c r="Q19" s="319"/>
      <c r="R19" s="314" t="str">
        <f>'Clb Q'!C10</f>
        <v>CTR Rumilly</v>
      </c>
      <c r="S19" s="315"/>
      <c r="T19" s="316"/>
      <c r="V19" s="29"/>
    </row>
    <row r="20" spans="2:22" s="30" customFormat="1" ht="21.95" customHeight="1" outlineLevel="1">
      <c r="C20" s="311" t="str">
        <f>'Clb Q'!H28</f>
        <v/>
      </c>
      <c r="D20" s="312"/>
      <c r="E20" s="313"/>
      <c r="F20" s="126">
        <v>11</v>
      </c>
      <c r="G20" s="127">
        <v>12</v>
      </c>
      <c r="H20" s="311" t="str">
        <f>'Clb Q'!B28</f>
        <v/>
      </c>
      <c r="I20" s="312"/>
      <c r="J20" s="313"/>
      <c r="K20" s="37"/>
      <c r="L20" s="31"/>
      <c r="M20" s="311" t="str">
        <f>'Clb Q'!H12</f>
        <v/>
      </c>
      <c r="N20" s="312"/>
      <c r="O20" s="313"/>
      <c r="P20" s="126">
        <v>11</v>
      </c>
      <c r="Q20" s="127">
        <v>12</v>
      </c>
      <c r="R20" s="311" t="str">
        <f>'Clb Q'!B12</f>
        <v>Aymard Léane</v>
      </c>
      <c r="S20" s="312"/>
      <c r="T20" s="313"/>
      <c r="V20" s="32"/>
    </row>
    <row r="21" spans="2:22" s="30" customFormat="1" ht="21.95" customHeight="1" outlineLevel="1">
      <c r="C21" s="311" t="str">
        <f>'Clb Q'!H29</f>
        <v/>
      </c>
      <c r="D21" s="312"/>
      <c r="E21" s="313"/>
      <c r="F21" s="128">
        <v>13</v>
      </c>
      <c r="G21" s="129">
        <v>14</v>
      </c>
      <c r="H21" s="311" t="str">
        <f>'Clb Q'!B29</f>
        <v/>
      </c>
      <c r="I21" s="312"/>
      <c r="J21" s="313"/>
      <c r="K21" s="37"/>
      <c r="L21" s="31"/>
      <c r="M21" s="311" t="str">
        <f>'Clb Q'!H13</f>
        <v/>
      </c>
      <c r="N21" s="312"/>
      <c r="O21" s="313"/>
      <c r="P21" s="128">
        <v>13</v>
      </c>
      <c r="Q21" s="129">
        <v>14</v>
      </c>
      <c r="R21" s="311" t="str">
        <f>'Clb Q'!B13</f>
        <v>Martinez Agathe</v>
      </c>
      <c r="S21" s="312"/>
      <c r="T21" s="313"/>
      <c r="V21" s="32"/>
    </row>
    <row r="22" spans="2:22" s="30" customFormat="1" ht="21.95" customHeight="1" outlineLevel="1">
      <c r="C22" s="311" t="str">
        <f>'Clb Q'!H30</f>
        <v/>
      </c>
      <c r="D22" s="312"/>
      <c r="E22" s="313"/>
      <c r="F22" s="128">
        <v>15</v>
      </c>
      <c r="G22" s="129">
        <v>16</v>
      </c>
      <c r="H22" s="311" t="str">
        <f>'Clb Q'!B30</f>
        <v/>
      </c>
      <c r="I22" s="312"/>
      <c r="J22" s="313"/>
      <c r="K22" s="37"/>
      <c r="L22" s="31"/>
      <c r="M22" s="311" t="str">
        <f>'Clb Q'!H14</f>
        <v/>
      </c>
      <c r="N22" s="312"/>
      <c r="O22" s="313"/>
      <c r="P22" s="128">
        <v>15</v>
      </c>
      <c r="Q22" s="129">
        <v>16</v>
      </c>
      <c r="R22" s="311" t="str">
        <f>'Clb Q'!B14</f>
        <v>Letournel Solène</v>
      </c>
      <c r="S22" s="312"/>
      <c r="T22" s="313"/>
      <c r="V22" s="32"/>
    </row>
    <row r="23" spans="2:22" s="30" customFormat="1" ht="21.95" customHeight="1" outlineLevel="1">
      <c r="C23" s="311" t="str">
        <f>'Clb Q'!H31</f>
        <v/>
      </c>
      <c r="D23" s="312"/>
      <c r="E23" s="313"/>
      <c r="F23" s="128">
        <v>17</v>
      </c>
      <c r="G23" s="129">
        <v>18</v>
      </c>
      <c r="H23" s="311" t="str">
        <f>'Clb Q'!B31</f>
        <v/>
      </c>
      <c r="I23" s="312"/>
      <c r="J23" s="313"/>
      <c r="K23" s="37"/>
      <c r="L23" s="31"/>
      <c r="M23" s="311" t="str">
        <f>'Clb Q'!H15</f>
        <v/>
      </c>
      <c r="N23" s="312"/>
      <c r="O23" s="313"/>
      <c r="P23" s="128">
        <v>17</v>
      </c>
      <c r="Q23" s="129">
        <v>18</v>
      </c>
      <c r="R23" s="311" t="str">
        <f>'Clb Q'!B15</f>
        <v>Maillet Denis</v>
      </c>
      <c r="S23" s="312"/>
      <c r="T23" s="313"/>
      <c r="V23" s="32"/>
    </row>
    <row r="24" spans="2:22" s="30" customFormat="1" ht="21.95" customHeight="1" outlineLevel="1" thickBot="1">
      <c r="C24" s="311" t="str">
        <f>'Clb Q'!H32</f>
        <v/>
      </c>
      <c r="D24" s="312"/>
      <c r="E24" s="313"/>
      <c r="F24" s="130">
        <v>19</v>
      </c>
      <c r="G24" s="131">
        <v>20</v>
      </c>
      <c r="H24" s="311" t="str">
        <f>'Clb Q'!B32</f>
        <v/>
      </c>
      <c r="I24" s="312"/>
      <c r="J24" s="313"/>
      <c r="K24" s="37"/>
      <c r="L24" s="31"/>
      <c r="M24" s="311" t="str">
        <f>'Clb Q'!H16</f>
        <v/>
      </c>
      <c r="N24" s="312"/>
      <c r="O24" s="313"/>
      <c r="P24" s="130">
        <v>19</v>
      </c>
      <c r="Q24" s="131">
        <v>20</v>
      </c>
      <c r="R24" s="311" t="str">
        <f>'Clb Q'!B16</f>
        <v>Greco Laura</v>
      </c>
      <c r="S24" s="312"/>
      <c r="T24" s="313"/>
      <c r="V24" s="32"/>
    </row>
    <row r="25" spans="2:22" ht="21.95" customHeight="1">
      <c r="B25" s="33" t="str">
        <f>IF(E25="","",IF(E25&gt;2,1,0))</f>
        <v/>
      </c>
      <c r="C25" s="294" t="str">
        <f>IF(E25="","",SUM(B25:B31))</f>
        <v/>
      </c>
      <c r="D25" s="295"/>
      <c r="E25" s="73"/>
      <c r="F25" s="300"/>
      <c r="G25" s="301"/>
      <c r="H25" s="73"/>
      <c r="I25" s="298" t="str">
        <f>IF(H25="","",SUM(K25:K31))</f>
        <v/>
      </c>
      <c r="J25" s="294"/>
      <c r="K25" s="58" t="str">
        <f>IF(H25="","",IF(H25&gt;2,1,0))</f>
        <v/>
      </c>
      <c r="L25" s="33">
        <f>IF(O25="","",IF(O25&gt;2,1,0))</f>
        <v>0</v>
      </c>
      <c r="M25" s="294">
        <f>IF(O25="","",SUM(L25:L31))</f>
        <v>0</v>
      </c>
      <c r="N25" s="295"/>
      <c r="O25" s="73">
        <v>0</v>
      </c>
      <c r="P25" s="300"/>
      <c r="Q25" s="301"/>
      <c r="R25" s="73"/>
      <c r="S25" s="298" t="str">
        <f>IF(R25="","",SUM(U25:U31))</f>
        <v/>
      </c>
      <c r="T25" s="294"/>
      <c r="U25" s="58" t="str">
        <f>IF(R25="","",IF(R25&gt;2,1,0))</f>
        <v/>
      </c>
      <c r="V25" s="34"/>
    </row>
    <row r="26" spans="2:22" ht="21.95" customHeight="1">
      <c r="B26" s="33" t="str">
        <f t="shared" ref="B26:B31" si="4">IF(E26="","",IF(E26&gt;2,1,0))</f>
        <v/>
      </c>
      <c r="C26" s="296"/>
      <c r="D26" s="297"/>
      <c r="E26" s="74"/>
      <c r="F26" s="302"/>
      <c r="G26" s="303"/>
      <c r="H26" s="74"/>
      <c r="I26" s="299"/>
      <c r="J26" s="296"/>
      <c r="K26" s="58" t="str">
        <f t="shared" ref="K26:K31" si="5">IF(H26="","",IF(H26&gt;2,1,0))</f>
        <v/>
      </c>
      <c r="L26" s="33">
        <f t="shared" ref="L26:L31" si="6">IF(O26="","",IF(O26&gt;2,1,0))</f>
        <v>0</v>
      </c>
      <c r="M26" s="296"/>
      <c r="N26" s="297"/>
      <c r="O26" s="74">
        <v>0</v>
      </c>
      <c r="P26" s="302"/>
      <c r="Q26" s="303"/>
      <c r="R26" s="74"/>
      <c r="S26" s="299"/>
      <c r="T26" s="296"/>
      <c r="U26" s="58" t="str">
        <f t="shared" ref="U26:U31" si="7">IF(R26="","",IF(R26&gt;2,1,0))</f>
        <v/>
      </c>
      <c r="V26" s="34"/>
    </row>
    <row r="27" spans="2:22" ht="21.95" customHeight="1">
      <c r="B27" s="33" t="str">
        <f t="shared" si="4"/>
        <v/>
      </c>
      <c r="C27" s="296"/>
      <c r="D27" s="297"/>
      <c r="E27" s="74"/>
      <c r="F27" s="302"/>
      <c r="G27" s="303"/>
      <c r="H27" s="74"/>
      <c r="I27" s="299"/>
      <c r="J27" s="296"/>
      <c r="K27" s="58" t="str">
        <f t="shared" si="5"/>
        <v/>
      </c>
      <c r="L27" s="33">
        <f t="shared" si="6"/>
        <v>0</v>
      </c>
      <c r="M27" s="296"/>
      <c r="N27" s="297"/>
      <c r="O27" s="74">
        <v>0</v>
      </c>
      <c r="P27" s="302"/>
      <c r="Q27" s="303"/>
      <c r="R27" s="74"/>
      <c r="S27" s="299"/>
      <c r="T27" s="296"/>
      <c r="U27" s="58" t="str">
        <f t="shared" si="7"/>
        <v/>
      </c>
      <c r="V27" s="34"/>
    </row>
    <row r="28" spans="2:22" ht="21.95" customHeight="1">
      <c r="B28" s="33" t="str">
        <f t="shared" si="4"/>
        <v/>
      </c>
      <c r="C28" s="296"/>
      <c r="D28" s="297"/>
      <c r="E28" s="74"/>
      <c r="F28" s="302"/>
      <c r="G28" s="303"/>
      <c r="H28" s="74"/>
      <c r="I28" s="299"/>
      <c r="J28" s="296"/>
      <c r="K28" s="58" t="str">
        <f t="shared" si="5"/>
        <v/>
      </c>
      <c r="L28" s="33">
        <f t="shared" si="6"/>
        <v>0</v>
      </c>
      <c r="M28" s="296"/>
      <c r="N28" s="297"/>
      <c r="O28" s="74">
        <v>0</v>
      </c>
      <c r="P28" s="302"/>
      <c r="Q28" s="303"/>
      <c r="R28" s="74"/>
      <c r="S28" s="299"/>
      <c r="T28" s="296"/>
      <c r="U28" s="58" t="str">
        <f t="shared" si="7"/>
        <v/>
      </c>
      <c r="V28" s="34"/>
    </row>
    <row r="29" spans="2:22" ht="21.95" customHeight="1">
      <c r="B29" s="33" t="str">
        <f t="shared" si="4"/>
        <v/>
      </c>
      <c r="C29" s="296"/>
      <c r="D29" s="297"/>
      <c r="E29" s="74"/>
      <c r="F29" s="302"/>
      <c r="G29" s="303"/>
      <c r="H29" s="74"/>
      <c r="I29" s="299"/>
      <c r="J29" s="296"/>
      <c r="K29" s="58" t="str">
        <f t="shared" si="5"/>
        <v/>
      </c>
      <c r="L29" s="33" t="str">
        <f t="shared" si="6"/>
        <v/>
      </c>
      <c r="M29" s="296"/>
      <c r="N29" s="297"/>
      <c r="O29" s="74"/>
      <c r="P29" s="302"/>
      <c r="Q29" s="303"/>
      <c r="R29" s="74"/>
      <c r="S29" s="299"/>
      <c r="T29" s="296"/>
      <c r="U29" s="58" t="str">
        <f t="shared" si="7"/>
        <v/>
      </c>
      <c r="V29" s="34"/>
    </row>
    <row r="30" spans="2:22" ht="21.95" customHeight="1">
      <c r="B30" s="33" t="str">
        <f t="shared" si="4"/>
        <v/>
      </c>
      <c r="C30" s="296"/>
      <c r="D30" s="297"/>
      <c r="E30" s="74"/>
      <c r="F30" s="302"/>
      <c r="G30" s="303"/>
      <c r="H30" s="74"/>
      <c r="I30" s="299"/>
      <c r="J30" s="296"/>
      <c r="K30" s="58" t="str">
        <f t="shared" si="5"/>
        <v/>
      </c>
      <c r="L30" s="33" t="str">
        <f t="shared" si="6"/>
        <v/>
      </c>
      <c r="M30" s="296"/>
      <c r="N30" s="297"/>
      <c r="O30" s="74"/>
      <c r="P30" s="302"/>
      <c r="Q30" s="303"/>
      <c r="R30" s="74"/>
      <c r="S30" s="299"/>
      <c r="T30" s="296"/>
      <c r="U30" s="58" t="str">
        <f t="shared" si="7"/>
        <v/>
      </c>
      <c r="V30" s="34"/>
    </row>
    <row r="31" spans="2:22" ht="21.95" customHeight="1" thickBot="1">
      <c r="B31" s="33" t="str">
        <f t="shared" si="4"/>
        <v/>
      </c>
      <c r="C31" s="296"/>
      <c r="D31" s="297"/>
      <c r="E31" s="75"/>
      <c r="F31" s="302"/>
      <c r="G31" s="303"/>
      <c r="H31" s="75"/>
      <c r="I31" s="299"/>
      <c r="J31" s="296"/>
      <c r="K31" s="58" t="str">
        <f t="shared" si="5"/>
        <v/>
      </c>
      <c r="L31" s="33" t="str">
        <f t="shared" si="6"/>
        <v/>
      </c>
      <c r="M31" s="296"/>
      <c r="N31" s="297"/>
      <c r="O31" s="75"/>
      <c r="P31" s="302"/>
      <c r="Q31" s="303"/>
      <c r="R31" s="75"/>
      <c r="S31" s="299"/>
      <c r="T31" s="296"/>
      <c r="U31" s="58" t="str">
        <f t="shared" si="7"/>
        <v/>
      </c>
      <c r="V31" s="34"/>
    </row>
    <row r="32" spans="2:22" ht="399.95" hidden="1" customHeight="1" outlineLevel="1">
      <c r="K32" s="34"/>
    </row>
    <row r="33" spans="2:22" ht="99.95" hidden="1" customHeight="1" outlineLevel="1">
      <c r="K33" s="34"/>
    </row>
    <row r="34" spans="2:22" ht="60" customHeight="1" collapsed="1" thickBot="1">
      <c r="B34" s="317" t="s">
        <v>1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</row>
    <row r="35" spans="2:22" s="27" customFormat="1" ht="27.95" customHeight="1" thickBot="1">
      <c r="C35" s="321" t="str">
        <f>IF(H5="",C5,IF(C11="","",IF(I11="","",IF(C11&gt;3,C5,IF(I11&gt;3,H5,"")))))</f>
        <v>LA SALESIENNE 1</v>
      </c>
      <c r="D35" s="322"/>
      <c r="E35" s="323"/>
      <c r="F35" s="318" t="s">
        <v>45</v>
      </c>
      <c r="G35" s="319"/>
      <c r="H35" s="321" t="str">
        <f>IF(C19="",H19,IF(C25="","",IF(I25="","",IF(C25&gt;3,C19,IF(I25&gt;3,H19,"")))))</f>
        <v/>
      </c>
      <c r="I35" s="322"/>
      <c r="J35" s="323"/>
      <c r="K35" s="60"/>
      <c r="L35" s="28"/>
      <c r="M35" s="321" t="str">
        <f>IF(R5="",M5,IF(M11="","",IF(S11="","",IF(M11&gt;3,M5,IF(S11&gt;3,R5,"")))))</f>
        <v>LA SALESIENNE HM</v>
      </c>
      <c r="N35" s="322"/>
      <c r="O35" s="323"/>
      <c r="P35" s="318" t="s">
        <v>45</v>
      </c>
      <c r="Q35" s="319"/>
      <c r="R35" s="321" t="str">
        <f>IF(M19="",R19,IF(M25="","",IF(S25="","",IF(M25&gt;3,M19,IF(S25&gt;3,R19,"")))))</f>
        <v>CTR Rumilly</v>
      </c>
      <c r="S35" s="322"/>
      <c r="T35" s="323"/>
    </row>
    <row r="36" spans="2:22" s="30" customFormat="1" ht="21.95" customHeight="1" outlineLevel="1">
      <c r="C36" s="324" t="str">
        <f>IF(H6="",C6,IF(C11="","",IF(I11="","",IF(C11&gt;3,C6,IF(I11&gt;3,H6,"")))))</f>
        <v>Cammarata Annick</v>
      </c>
      <c r="D36" s="325"/>
      <c r="E36" s="326"/>
      <c r="F36" s="132">
        <v>1</v>
      </c>
      <c r="G36" s="133">
        <v>2</v>
      </c>
      <c r="H36" s="324" t="str">
        <f>IF(C20="",H20,IF(C25="","",IF(I25="","",IF(C25&gt;3,C20,IF(I25&gt;3,H20,"")))))</f>
        <v/>
      </c>
      <c r="I36" s="325"/>
      <c r="J36" s="326"/>
      <c r="K36" s="60"/>
      <c r="L36" s="31"/>
      <c r="M36" s="324" t="str">
        <f>IF(R6="",M6,IF(M11="","",IF(S11="","",IF(M11&gt;3,M6,IF(S11&gt;3,R6,"")))))</f>
        <v>Abbe Timéo</v>
      </c>
      <c r="N36" s="325"/>
      <c r="O36" s="326"/>
      <c r="P36" s="132">
        <v>11</v>
      </c>
      <c r="Q36" s="133">
        <v>12</v>
      </c>
      <c r="R36" s="324" t="str">
        <f>IF(M20="",R20,IF(M25="","",IF(S25="","",IF(M25&gt;3,M20,IF(S25&gt;3,R20,"")))))</f>
        <v>Aymard Léane</v>
      </c>
      <c r="S36" s="325"/>
      <c r="T36" s="326"/>
      <c r="U36" s="59"/>
    </row>
    <row r="37" spans="2:22" s="30" customFormat="1" ht="21.95" customHeight="1" outlineLevel="1">
      <c r="C37" s="324" t="str">
        <f>IF(H7="",C7,IF(C11="","",IF(I11="","",IF(C11&gt;3,C7,IF(I11&gt;3,H7,"")))))</f>
        <v>Joly Stéphanie</v>
      </c>
      <c r="D37" s="325"/>
      <c r="E37" s="326"/>
      <c r="F37" s="134">
        <v>3</v>
      </c>
      <c r="G37" s="135">
        <v>4</v>
      </c>
      <c r="H37" s="324" t="str">
        <f>IF(C21="",H21,IF(C25="","",IF(I25="","",IF(C25&gt;3,C21,IF(I25&gt;3,H21,"")))))</f>
        <v/>
      </c>
      <c r="I37" s="325"/>
      <c r="J37" s="326"/>
      <c r="K37" s="60"/>
      <c r="L37" s="31"/>
      <c r="M37" s="324" t="str">
        <f>IF(R7="",M7,IF(M11="","",IF(S11="","",IF(M11&gt;3,M7,IF(S11&gt;3,R7,"")))))</f>
        <v>Hochart Pierre</v>
      </c>
      <c r="N37" s="325"/>
      <c r="O37" s="326"/>
      <c r="P37" s="134">
        <v>13</v>
      </c>
      <c r="Q37" s="135">
        <v>14</v>
      </c>
      <c r="R37" s="324" t="str">
        <f>IF(M21="",R21,IF(M25="","",IF(S25="","",IF(M25&gt;3,M21,IF(S25&gt;3,R21,"")))))</f>
        <v>Martinez Agathe</v>
      </c>
      <c r="S37" s="325"/>
      <c r="T37" s="326"/>
      <c r="U37" s="59"/>
    </row>
    <row r="38" spans="2:22" s="30" customFormat="1" ht="21.95" customHeight="1" outlineLevel="1">
      <c r="C38" s="324" t="str">
        <f>IF(H8="",C8,IF(C11="","",IF(I11="","",IF(C11&gt;3,C8,IF(I11&gt;3,H8,"")))))</f>
        <v>Vanelstraete Nathan</v>
      </c>
      <c r="D38" s="325"/>
      <c r="E38" s="326"/>
      <c r="F38" s="134">
        <v>5</v>
      </c>
      <c r="G38" s="135">
        <v>6</v>
      </c>
      <c r="H38" s="324" t="str">
        <f>IF(C22="",H22,IF(C25="","",IF(I25="","",IF(C25&gt;3,C22,IF(I25&gt;3,H22,"")))))</f>
        <v/>
      </c>
      <c r="I38" s="325"/>
      <c r="J38" s="326"/>
      <c r="K38" s="60"/>
      <c r="L38" s="31"/>
      <c r="M38" s="324" t="str">
        <f>IF(R8="",M8,IF(M11="","",IF(S11="","",IF(M11&gt;3,M8,IF(S11&gt;3,R8,"")))))</f>
        <v>Legal Adeline</v>
      </c>
      <c r="N38" s="325"/>
      <c r="O38" s="326"/>
      <c r="P38" s="134">
        <v>15</v>
      </c>
      <c r="Q38" s="135">
        <v>16</v>
      </c>
      <c r="R38" s="324" t="str">
        <f>IF(M22="",R22,IF(M25="","",IF(S25="","",IF(M25&gt;3,M22,IF(S25&gt;3,R22,"")))))</f>
        <v>Letournel Solène</v>
      </c>
      <c r="S38" s="325"/>
      <c r="T38" s="326"/>
      <c r="U38" s="59"/>
    </row>
    <row r="39" spans="2:22" s="30" customFormat="1" ht="21.95" customHeight="1" outlineLevel="1">
      <c r="C39" s="324" t="str">
        <f>IF(H9="",C9,IF(C11="","",IF(I11="","",IF(C11&gt;3,C9,IF(I11&gt;3,H9,"")))))</f>
        <v>Jarcin Nathalie</v>
      </c>
      <c r="D39" s="325"/>
      <c r="E39" s="326"/>
      <c r="F39" s="134">
        <v>7</v>
      </c>
      <c r="G39" s="135">
        <v>8</v>
      </c>
      <c r="H39" s="324" t="str">
        <f>IF(C23="",H23,IF(C25="","",IF(I25="","",IF(C25&gt;3,C23,IF(I25&gt;3,H23,"")))))</f>
        <v/>
      </c>
      <c r="I39" s="325"/>
      <c r="J39" s="326"/>
      <c r="K39" s="60"/>
      <c r="L39" s="31"/>
      <c r="M39" s="324" t="str">
        <f>IF(R9="",M9,IF(M11="","",IF(S11="","",IF(M11&gt;3,M9,IF(S11&gt;3,R9,"")))))</f>
        <v>Ismail Féthi</v>
      </c>
      <c r="N39" s="325"/>
      <c r="O39" s="326"/>
      <c r="P39" s="134">
        <v>17</v>
      </c>
      <c r="Q39" s="135">
        <v>18</v>
      </c>
      <c r="R39" s="324" t="str">
        <f>IF(M23="",R23,IF(M25="","",IF(S25="","",IF(M25&gt;3,M23,IF(S25&gt;3,R23,"")))))</f>
        <v>Maillet Denis</v>
      </c>
      <c r="S39" s="325"/>
      <c r="T39" s="326"/>
      <c r="U39" s="59"/>
    </row>
    <row r="40" spans="2:22" s="30" customFormat="1" ht="21.95" customHeight="1" outlineLevel="1" thickBot="1">
      <c r="C40" s="324" t="str">
        <f>IF(H10="",C10,IF(C11="","",IF(I11="","",IF(C11&gt;3,C10,IF(I11&gt;3,H10,"")))))</f>
        <v>Batoux Sophie</v>
      </c>
      <c r="D40" s="325"/>
      <c r="E40" s="326"/>
      <c r="F40" s="136">
        <v>9</v>
      </c>
      <c r="G40" s="137">
        <v>10</v>
      </c>
      <c r="H40" s="324" t="str">
        <f>IF(C24="",H24,IF(C25="","",IF(I25="","",IF(C25&gt;3,C24,IF(I25&gt;3,H24,"")))))</f>
        <v/>
      </c>
      <c r="I40" s="325"/>
      <c r="J40" s="326"/>
      <c r="K40" s="60"/>
      <c r="L40" s="31"/>
      <c r="M40" s="324" t="str">
        <f>IF(R10="",M10,IF(M11="","",IF(S11="","",IF(M11&gt;3,M10,IF(S11&gt;3,R10,"")))))</f>
        <v>Montauriol Ludovic</v>
      </c>
      <c r="N40" s="325"/>
      <c r="O40" s="326"/>
      <c r="P40" s="136">
        <v>19</v>
      </c>
      <c r="Q40" s="137">
        <v>20</v>
      </c>
      <c r="R40" s="324" t="str">
        <f>IF(M24="",R24,IF(M25="","",IF(S25="","",IF(M25&gt;3,M24,IF(S25&gt;3,R24,"")))))</f>
        <v>Greco Laura</v>
      </c>
      <c r="S40" s="325"/>
      <c r="T40" s="326"/>
      <c r="U40" s="59"/>
    </row>
    <row r="41" spans="2:22" ht="21.95" customHeight="1">
      <c r="B41" s="33">
        <f>IF(E41="","",IF(E41&gt;2,1,0))</f>
        <v>1</v>
      </c>
      <c r="C41" s="294">
        <f>IF(E41="","",SUM(B41:B47))</f>
        <v>4</v>
      </c>
      <c r="D41" s="295"/>
      <c r="E41" s="73">
        <v>5</v>
      </c>
      <c r="F41" s="300"/>
      <c r="G41" s="301"/>
      <c r="H41" s="73"/>
      <c r="I41" s="298" t="str">
        <f>IF(H41="","",SUM(K41:K47))</f>
        <v/>
      </c>
      <c r="J41" s="294"/>
      <c r="K41" s="58" t="str">
        <f>IF(H41="","",IF(H41&gt;2,1,0))</f>
        <v/>
      </c>
      <c r="L41" s="38">
        <f>IF(O41="","",IF(O41&gt;2,1,0))</f>
        <v>0</v>
      </c>
      <c r="M41" s="294">
        <f>IF(O41="","",SUM(L41:L47))</f>
        <v>4</v>
      </c>
      <c r="N41" s="295"/>
      <c r="O41" s="73">
        <v>1</v>
      </c>
      <c r="P41" s="300"/>
      <c r="Q41" s="301"/>
      <c r="R41" s="73">
        <v>4</v>
      </c>
      <c r="S41" s="298">
        <f>IF(R41="","",SUM(U41:U47))</f>
        <v>3</v>
      </c>
      <c r="T41" s="294"/>
      <c r="U41" s="58">
        <f>IF(R41="","",IF(R41&gt;2,1,0))</f>
        <v>1</v>
      </c>
      <c r="V41" s="34"/>
    </row>
    <row r="42" spans="2:22" ht="21.95" customHeight="1">
      <c r="B42" s="33">
        <f t="shared" ref="B42:B47" si="8">IF(E42="","",IF(E42&gt;2,1,0))</f>
        <v>1</v>
      </c>
      <c r="C42" s="296"/>
      <c r="D42" s="297"/>
      <c r="E42" s="74">
        <v>5</v>
      </c>
      <c r="F42" s="302"/>
      <c r="G42" s="303"/>
      <c r="H42" s="74"/>
      <c r="I42" s="299"/>
      <c r="J42" s="296"/>
      <c r="K42" s="58" t="str">
        <f t="shared" ref="K42:K47" si="9">IF(H42="","",IF(H42&gt;2,1,0))</f>
        <v/>
      </c>
      <c r="L42" s="38">
        <f t="shared" ref="L42:L47" si="10">IF(O42="","",IF(O42&gt;2,1,0))</f>
        <v>1</v>
      </c>
      <c r="M42" s="296"/>
      <c r="N42" s="297"/>
      <c r="O42" s="74">
        <v>3</v>
      </c>
      <c r="P42" s="302"/>
      <c r="Q42" s="303"/>
      <c r="R42" s="74">
        <v>2</v>
      </c>
      <c r="S42" s="299"/>
      <c r="T42" s="296"/>
      <c r="U42" s="58">
        <f t="shared" ref="U42:U47" si="11">IF(R42="","",IF(R42&gt;2,1,0))</f>
        <v>0</v>
      </c>
      <c r="V42" s="34"/>
    </row>
    <row r="43" spans="2:22" ht="21.95" customHeight="1">
      <c r="B43" s="33">
        <f t="shared" si="8"/>
        <v>1</v>
      </c>
      <c r="C43" s="296"/>
      <c r="D43" s="297"/>
      <c r="E43" s="74">
        <v>5</v>
      </c>
      <c r="F43" s="302"/>
      <c r="G43" s="303"/>
      <c r="H43" s="74"/>
      <c r="I43" s="299"/>
      <c r="J43" s="296"/>
      <c r="K43" s="58" t="str">
        <f t="shared" si="9"/>
        <v/>
      </c>
      <c r="L43" s="38">
        <f t="shared" si="10"/>
        <v>0</v>
      </c>
      <c r="M43" s="296"/>
      <c r="N43" s="297"/>
      <c r="O43" s="74">
        <v>2</v>
      </c>
      <c r="P43" s="302"/>
      <c r="Q43" s="303"/>
      <c r="R43" s="74">
        <v>3</v>
      </c>
      <c r="S43" s="299"/>
      <c r="T43" s="296"/>
      <c r="U43" s="58">
        <f t="shared" si="11"/>
        <v>1</v>
      </c>
      <c r="V43" s="34"/>
    </row>
    <row r="44" spans="2:22" ht="21.95" customHeight="1">
      <c r="B44" s="33">
        <f t="shared" si="8"/>
        <v>1</v>
      </c>
      <c r="C44" s="296"/>
      <c r="D44" s="297"/>
      <c r="E44" s="74">
        <v>5</v>
      </c>
      <c r="F44" s="302"/>
      <c r="G44" s="303"/>
      <c r="H44" s="74"/>
      <c r="I44" s="299"/>
      <c r="J44" s="296"/>
      <c r="K44" s="58" t="str">
        <f t="shared" si="9"/>
        <v/>
      </c>
      <c r="L44" s="38">
        <f t="shared" si="10"/>
        <v>1</v>
      </c>
      <c r="M44" s="296"/>
      <c r="N44" s="297"/>
      <c r="O44" s="74">
        <v>4</v>
      </c>
      <c r="P44" s="302"/>
      <c r="Q44" s="303"/>
      <c r="R44" s="74">
        <v>1</v>
      </c>
      <c r="S44" s="299"/>
      <c r="T44" s="296"/>
      <c r="U44" s="58">
        <f t="shared" si="11"/>
        <v>0</v>
      </c>
      <c r="V44" s="34"/>
    </row>
    <row r="45" spans="2:22" ht="21.95" customHeight="1">
      <c r="B45" s="33" t="str">
        <f t="shared" si="8"/>
        <v/>
      </c>
      <c r="C45" s="296"/>
      <c r="D45" s="297"/>
      <c r="E45" s="74"/>
      <c r="F45" s="302"/>
      <c r="G45" s="303"/>
      <c r="H45" s="74"/>
      <c r="I45" s="299"/>
      <c r="J45" s="296"/>
      <c r="K45" s="58" t="str">
        <f t="shared" si="9"/>
        <v/>
      </c>
      <c r="L45" s="38">
        <f t="shared" si="10"/>
        <v>0</v>
      </c>
      <c r="M45" s="296"/>
      <c r="N45" s="297"/>
      <c r="O45" s="74">
        <v>1</v>
      </c>
      <c r="P45" s="302"/>
      <c r="Q45" s="303"/>
      <c r="R45" s="74">
        <v>4</v>
      </c>
      <c r="S45" s="299"/>
      <c r="T45" s="296"/>
      <c r="U45" s="58">
        <f t="shared" si="11"/>
        <v>1</v>
      </c>
      <c r="V45" s="34"/>
    </row>
    <row r="46" spans="2:22" ht="21.95" customHeight="1">
      <c r="B46" s="33" t="str">
        <f t="shared" si="8"/>
        <v/>
      </c>
      <c r="C46" s="296"/>
      <c r="D46" s="297"/>
      <c r="E46" s="74"/>
      <c r="F46" s="302"/>
      <c r="G46" s="303"/>
      <c r="H46" s="74"/>
      <c r="I46" s="299"/>
      <c r="J46" s="296"/>
      <c r="K46" s="58" t="str">
        <f t="shared" si="9"/>
        <v/>
      </c>
      <c r="L46" s="38">
        <f t="shared" si="10"/>
        <v>1</v>
      </c>
      <c r="M46" s="296"/>
      <c r="N46" s="297"/>
      <c r="O46" s="74">
        <v>3</v>
      </c>
      <c r="P46" s="302"/>
      <c r="Q46" s="303"/>
      <c r="R46" s="74">
        <v>2</v>
      </c>
      <c r="S46" s="299"/>
      <c r="T46" s="296"/>
      <c r="U46" s="58">
        <f t="shared" si="11"/>
        <v>0</v>
      </c>
      <c r="V46" s="34"/>
    </row>
    <row r="47" spans="2:22" ht="21.95" customHeight="1" thickBot="1">
      <c r="B47" s="33" t="str">
        <f t="shared" si="8"/>
        <v/>
      </c>
      <c r="C47" s="296"/>
      <c r="D47" s="297"/>
      <c r="E47" s="75"/>
      <c r="F47" s="302"/>
      <c r="G47" s="303"/>
      <c r="H47" s="75"/>
      <c r="I47" s="299"/>
      <c r="J47" s="296"/>
      <c r="K47" s="58" t="str">
        <f t="shared" si="9"/>
        <v/>
      </c>
      <c r="L47" s="38">
        <f t="shared" si="10"/>
        <v>1</v>
      </c>
      <c r="M47" s="296"/>
      <c r="N47" s="297"/>
      <c r="O47" s="75">
        <v>3</v>
      </c>
      <c r="P47" s="302"/>
      <c r="Q47" s="303"/>
      <c r="R47" s="75">
        <v>2</v>
      </c>
      <c r="S47" s="299"/>
      <c r="T47" s="296"/>
      <c r="U47" s="58">
        <f t="shared" si="11"/>
        <v>0</v>
      </c>
      <c r="V47" s="34"/>
    </row>
    <row r="48" spans="2:22" ht="300" hidden="1" customHeight="1" outlineLevel="1">
      <c r="K48" s="60"/>
      <c r="L48" s="35"/>
      <c r="V48" s="34"/>
    </row>
    <row r="49" spans="2:22" ht="300" hidden="1" customHeight="1" outlineLevel="1">
      <c r="K49" s="35"/>
      <c r="L49" s="35"/>
      <c r="V49" s="34"/>
    </row>
    <row r="50" spans="2:22" ht="59.1" customHeight="1" collapsed="1" thickBot="1">
      <c r="B50" s="34"/>
      <c r="C50" s="34"/>
      <c r="D50" s="34"/>
      <c r="E50" s="34"/>
      <c r="F50" s="34"/>
      <c r="G50" s="34"/>
      <c r="H50" s="317" t="s">
        <v>41</v>
      </c>
      <c r="I50" s="317"/>
      <c r="J50" s="317"/>
      <c r="K50" s="317"/>
      <c r="L50" s="317"/>
      <c r="M50" s="317"/>
      <c r="N50" s="317"/>
      <c r="O50" s="317"/>
      <c r="P50" s="57"/>
      <c r="Q50" s="34"/>
      <c r="R50" s="34"/>
      <c r="S50" s="34"/>
      <c r="T50" s="34"/>
      <c r="U50" s="34"/>
    </row>
    <row r="51" spans="2:22" s="27" customFormat="1" ht="27.95" customHeight="1" thickBot="1">
      <c r="F51" s="334"/>
      <c r="G51" s="336"/>
      <c r="H51" s="327" t="str">
        <f>IF(C41="","",IF(I41="","",IF(C41&gt;3,H35,IF(I41&gt;3,C35,""))))</f>
        <v/>
      </c>
      <c r="I51" s="328"/>
      <c r="J51" s="329"/>
      <c r="K51" s="318" t="s">
        <v>45</v>
      </c>
      <c r="L51" s="319"/>
      <c r="M51" s="327" t="str">
        <f>IF(M41="","",IF(S41="","",IF(M41&gt;3,R35,IF(S41&gt;3,M35,""))))</f>
        <v>CTR Rumilly</v>
      </c>
      <c r="N51" s="328"/>
      <c r="O51" s="329"/>
      <c r="P51" s="332"/>
      <c r="Q51" s="330"/>
    </row>
    <row r="52" spans="2:22" s="30" customFormat="1" ht="21.95" customHeight="1" outlineLevel="1">
      <c r="F52" s="334"/>
      <c r="G52" s="336"/>
      <c r="H52" s="291" t="str">
        <f>IF(C41="","",IF(I41="","",IF(C41&gt;3,H36,IF(I41&gt;3,C36,""))))</f>
        <v/>
      </c>
      <c r="I52" s="292"/>
      <c r="J52" s="293"/>
      <c r="K52" s="138">
        <v>1</v>
      </c>
      <c r="L52" s="139">
        <v>2</v>
      </c>
      <c r="M52" s="291" t="str">
        <f>IF(M41="","",IF(S41="","",IF(M41&gt;3,R36,IF(S41&gt;3,M36,""))))</f>
        <v>Aymard Léane</v>
      </c>
      <c r="N52" s="292"/>
      <c r="O52" s="293"/>
      <c r="P52" s="332"/>
      <c r="Q52" s="330"/>
    </row>
    <row r="53" spans="2:22" s="30" customFormat="1" ht="21.95" customHeight="1" outlineLevel="1">
      <c r="F53" s="334"/>
      <c r="G53" s="336"/>
      <c r="H53" s="291" t="str">
        <f>IF(C41="","",IF(I41="","",IF(C41&gt;3,H37,IF(I41&gt;3,C37,""))))</f>
        <v/>
      </c>
      <c r="I53" s="292"/>
      <c r="J53" s="293"/>
      <c r="K53" s="140">
        <v>3</v>
      </c>
      <c r="L53" s="141">
        <v>4</v>
      </c>
      <c r="M53" s="291" t="str">
        <f>IF(M41="","",IF(S41="","",IF(M41&gt;3,R37,IF(S41&gt;3,M37,""))))</f>
        <v>Martinez Agathe</v>
      </c>
      <c r="N53" s="292"/>
      <c r="O53" s="293"/>
      <c r="P53" s="332"/>
      <c r="Q53" s="330"/>
    </row>
    <row r="54" spans="2:22" s="30" customFormat="1" ht="21.95" customHeight="1" outlineLevel="1">
      <c r="F54" s="334"/>
      <c r="G54" s="336"/>
      <c r="H54" s="291" t="str">
        <f>IF(C41="","",IF(I41="","",IF(C41&gt;3,H38,IF(I41&gt;3,C38,""))))</f>
        <v/>
      </c>
      <c r="I54" s="292"/>
      <c r="J54" s="293"/>
      <c r="K54" s="140">
        <v>5</v>
      </c>
      <c r="L54" s="141">
        <v>6</v>
      </c>
      <c r="M54" s="291" t="str">
        <f>IF(M41="","",IF(S41="","",IF(M41&gt;3,R38,IF(S41&gt;3,M38,""))))</f>
        <v>Letournel Solène</v>
      </c>
      <c r="N54" s="292"/>
      <c r="O54" s="293"/>
      <c r="P54" s="332"/>
      <c r="Q54" s="330"/>
    </row>
    <row r="55" spans="2:22" s="30" customFormat="1" ht="21.95" customHeight="1" outlineLevel="1">
      <c r="F55" s="334"/>
      <c r="G55" s="336"/>
      <c r="H55" s="291" t="str">
        <f>IF(C41="","",IF(I41="","",IF(C41&gt;3,H39,IF(I41&gt;3,C39,""))))</f>
        <v/>
      </c>
      <c r="I55" s="292"/>
      <c r="J55" s="293"/>
      <c r="K55" s="140">
        <v>7</v>
      </c>
      <c r="L55" s="141">
        <v>8</v>
      </c>
      <c r="M55" s="291" t="str">
        <f>IF(M41="","",IF(S41="","",IF(M41&gt;3,R39,IF(S41&gt;3,M39,""))))</f>
        <v>Maillet Denis</v>
      </c>
      <c r="N55" s="292"/>
      <c r="O55" s="293"/>
      <c r="P55" s="332"/>
      <c r="Q55" s="330"/>
    </row>
    <row r="56" spans="2:22" s="30" customFormat="1" ht="21.95" customHeight="1" outlineLevel="1" thickBot="1">
      <c r="F56" s="334"/>
      <c r="G56" s="336"/>
      <c r="H56" s="291" t="str">
        <f>IF(C41="","",IF(I41="","",IF(C41&gt;3,H40,IF(I41&gt;3,C40,""))))</f>
        <v/>
      </c>
      <c r="I56" s="292"/>
      <c r="J56" s="293"/>
      <c r="K56" s="142">
        <v>9</v>
      </c>
      <c r="L56" s="143">
        <v>10</v>
      </c>
      <c r="M56" s="291" t="str">
        <f>IF(M41="","",IF(S41="","",IF(M41&gt;3,R40,IF(S41&gt;3,M40,""))))</f>
        <v>Greco Laura</v>
      </c>
      <c r="N56" s="292"/>
      <c r="O56" s="293"/>
      <c r="P56" s="332"/>
      <c r="Q56" s="330"/>
    </row>
    <row r="57" spans="2:22" ht="21.95" customHeight="1">
      <c r="G57" s="33" t="str">
        <f>IF(J57="","",IF(J57&gt;2,1,0))</f>
        <v/>
      </c>
      <c r="H57" s="294" t="str">
        <f>IF(J57="","",SUM(G57:G63))</f>
        <v/>
      </c>
      <c r="I57" s="295"/>
      <c r="J57" s="73"/>
      <c r="K57" s="300"/>
      <c r="L57" s="301"/>
      <c r="M57" s="73"/>
      <c r="N57" s="298">
        <f>IF(H35="",IF(M51="","",4),IF(M57="","",SUM(P57:P63)))</f>
        <v>4</v>
      </c>
      <c r="O57" s="294"/>
      <c r="P57" s="58" t="str">
        <f>IF(M57="","",IF(M57&gt;2,1,0))</f>
        <v/>
      </c>
    </row>
    <row r="58" spans="2:22" ht="21.95" customHeight="1">
      <c r="G58" s="33" t="str">
        <f t="shared" ref="G58:G63" si="12">IF(J58="","",IF(J58&gt;2,1,0))</f>
        <v/>
      </c>
      <c r="H58" s="296"/>
      <c r="I58" s="297"/>
      <c r="J58" s="74"/>
      <c r="K58" s="302"/>
      <c r="L58" s="303"/>
      <c r="M58" s="74"/>
      <c r="N58" s="299"/>
      <c r="O58" s="296"/>
      <c r="P58" s="58" t="str">
        <f t="shared" ref="P58:P63" si="13">IF(M58="","",IF(M58&gt;2,1,0))</f>
        <v/>
      </c>
    </row>
    <row r="59" spans="2:22" ht="21.95" customHeight="1">
      <c r="G59" s="33" t="str">
        <f t="shared" si="12"/>
        <v/>
      </c>
      <c r="H59" s="296"/>
      <c r="I59" s="297"/>
      <c r="J59" s="74"/>
      <c r="K59" s="302"/>
      <c r="L59" s="303"/>
      <c r="M59" s="74"/>
      <c r="N59" s="299"/>
      <c r="O59" s="296"/>
      <c r="P59" s="58" t="str">
        <f t="shared" si="13"/>
        <v/>
      </c>
    </row>
    <row r="60" spans="2:22" ht="21.95" customHeight="1">
      <c r="G60" s="33" t="str">
        <f t="shared" si="12"/>
        <v/>
      </c>
      <c r="H60" s="296"/>
      <c r="I60" s="297"/>
      <c r="J60" s="74"/>
      <c r="K60" s="302"/>
      <c r="L60" s="303"/>
      <c r="M60" s="74"/>
      <c r="N60" s="299"/>
      <c r="O60" s="296"/>
      <c r="P60" s="58" t="str">
        <f t="shared" si="13"/>
        <v/>
      </c>
    </row>
    <row r="61" spans="2:22" ht="21.95" customHeight="1">
      <c r="G61" s="33" t="str">
        <f t="shared" si="12"/>
        <v/>
      </c>
      <c r="H61" s="296"/>
      <c r="I61" s="297"/>
      <c r="J61" s="74"/>
      <c r="K61" s="302"/>
      <c r="L61" s="303"/>
      <c r="M61" s="74"/>
      <c r="N61" s="299"/>
      <c r="O61" s="296"/>
      <c r="P61" s="58" t="str">
        <f t="shared" si="13"/>
        <v/>
      </c>
    </row>
    <row r="62" spans="2:22" ht="21.95" customHeight="1">
      <c r="G62" s="33" t="str">
        <f t="shared" si="12"/>
        <v/>
      </c>
      <c r="H62" s="296"/>
      <c r="I62" s="297"/>
      <c r="J62" s="74"/>
      <c r="K62" s="302"/>
      <c r="L62" s="303"/>
      <c r="M62" s="74"/>
      <c r="N62" s="299"/>
      <c r="O62" s="296"/>
      <c r="P62" s="58" t="str">
        <f t="shared" si="13"/>
        <v/>
      </c>
    </row>
    <row r="63" spans="2:22" ht="21.95" customHeight="1" thickBot="1">
      <c r="G63" s="33" t="str">
        <f t="shared" si="12"/>
        <v/>
      </c>
      <c r="H63" s="296"/>
      <c r="I63" s="297"/>
      <c r="J63" s="75"/>
      <c r="K63" s="302"/>
      <c r="L63" s="303"/>
      <c r="M63" s="75"/>
      <c r="N63" s="299"/>
      <c r="O63" s="296"/>
      <c r="P63" s="58" t="str">
        <f t="shared" si="13"/>
        <v/>
      </c>
    </row>
    <row r="64" spans="2:22" ht="60" customHeight="1" thickBot="1">
      <c r="B64" s="34"/>
      <c r="C64" s="34"/>
      <c r="D64" s="34"/>
      <c r="E64" s="34"/>
      <c r="F64" s="34"/>
      <c r="G64" s="57"/>
      <c r="H64" s="335" t="s">
        <v>12</v>
      </c>
      <c r="I64" s="335"/>
      <c r="J64" s="335"/>
      <c r="K64" s="335"/>
      <c r="L64" s="335"/>
      <c r="M64" s="335"/>
      <c r="N64" s="335"/>
      <c r="O64" s="335"/>
      <c r="P64" s="34"/>
      <c r="Q64" s="34"/>
      <c r="R64" s="34"/>
      <c r="S64" s="34"/>
      <c r="T64" s="34"/>
      <c r="U64" s="34"/>
    </row>
    <row r="65" spans="1:17" ht="27.95" customHeight="1" thickBot="1">
      <c r="A65" s="34"/>
      <c r="F65" s="330"/>
      <c r="G65" s="331"/>
      <c r="H65" s="307" t="str">
        <f>IF(H35="",C35,IF(C41="","",IF(I41="","",IF(C41&gt;3,C35,IF(I41&gt;3,H35,"")))))</f>
        <v>LA SALESIENNE 1</v>
      </c>
      <c r="I65" s="308"/>
      <c r="J65" s="309"/>
      <c r="K65" s="318" t="s">
        <v>45</v>
      </c>
      <c r="L65" s="319"/>
      <c r="M65" s="307" t="str">
        <f>IF(M35="",R35,IF(M41="","",IF(S41="","",IF(M41&gt;3,M35,IF(S41&gt;3,R35,"")))))</f>
        <v>LA SALESIENNE HM</v>
      </c>
      <c r="N65" s="308"/>
      <c r="O65" s="309"/>
      <c r="P65" s="333"/>
      <c r="Q65" s="334"/>
    </row>
    <row r="66" spans="1:17" ht="21.95" customHeight="1" outlineLevel="1">
      <c r="A66" s="34"/>
      <c r="F66" s="330"/>
      <c r="G66" s="331"/>
      <c r="H66" s="304" t="str">
        <f>IF(H36="",C36,IF(C41="","",IF(I41="","",IF(C41&gt;3,C36,IF(I41&gt;3,H36,"")))))</f>
        <v>Cammarata Annick</v>
      </c>
      <c r="I66" s="305"/>
      <c r="J66" s="306"/>
      <c r="K66" s="144">
        <v>11</v>
      </c>
      <c r="L66" s="145">
        <v>12</v>
      </c>
      <c r="M66" s="304" t="str">
        <f>IF(M36="",R36,IF(M41="","",IF(S41="","",IF(M41&gt;3,M36,IF(S41&gt;3,R36,"")))))</f>
        <v>Abbe Timéo</v>
      </c>
      <c r="N66" s="305"/>
      <c r="O66" s="306"/>
      <c r="P66" s="333"/>
      <c r="Q66" s="334"/>
    </row>
    <row r="67" spans="1:17" ht="21.95" customHeight="1" outlineLevel="1">
      <c r="A67" s="34"/>
      <c r="F67" s="330"/>
      <c r="G67" s="331"/>
      <c r="H67" s="304" t="str">
        <f>IF(H37="",C37,IF(C41="","",IF(I41="","",IF(C41&gt;3,C37,IF(I41&gt;3,H37,"")))))</f>
        <v>Joly Stéphanie</v>
      </c>
      <c r="I67" s="305"/>
      <c r="J67" s="306"/>
      <c r="K67" s="146">
        <v>13</v>
      </c>
      <c r="L67" s="147">
        <v>14</v>
      </c>
      <c r="M67" s="304" t="str">
        <f>IF(M37="",R37,IF(M41="","",IF(S41="","",IF(M41&gt;3,M37,IF(S41&gt;3,R37,"")))))</f>
        <v>Hochart Pierre</v>
      </c>
      <c r="N67" s="305"/>
      <c r="O67" s="306"/>
      <c r="P67" s="333"/>
      <c r="Q67" s="334"/>
    </row>
    <row r="68" spans="1:17" ht="21.95" customHeight="1" outlineLevel="1">
      <c r="A68" s="34"/>
      <c r="F68" s="330"/>
      <c r="G68" s="331"/>
      <c r="H68" s="304" t="str">
        <f>IF(H38="",C38,IF(C41="","",IF(I41="","",IF(C41&gt;3,C38,IF(I41&gt;3,H38,"")))))</f>
        <v>Vanelstraete Nathan</v>
      </c>
      <c r="I68" s="305"/>
      <c r="J68" s="306"/>
      <c r="K68" s="146">
        <v>15</v>
      </c>
      <c r="L68" s="147">
        <v>16</v>
      </c>
      <c r="M68" s="304" t="str">
        <f>IF(M38="",R38,IF(M41="","",IF(S41="","",IF(M41&gt;3,M38,IF(S41&gt;3,R38,"")))))</f>
        <v>Legal Adeline</v>
      </c>
      <c r="N68" s="305"/>
      <c r="O68" s="306"/>
      <c r="P68" s="333"/>
      <c r="Q68" s="334"/>
    </row>
    <row r="69" spans="1:17" ht="21.95" customHeight="1" outlineLevel="1">
      <c r="A69" s="34"/>
      <c r="F69" s="330"/>
      <c r="G69" s="331"/>
      <c r="H69" s="304" t="str">
        <f>IF(H39="",C39,IF(C41="","",IF(I41="","",IF(C41&gt;3,C39,IF(I41&gt;3,H39,"")))))</f>
        <v>Jarcin Nathalie</v>
      </c>
      <c r="I69" s="305"/>
      <c r="J69" s="306"/>
      <c r="K69" s="146">
        <v>17</v>
      </c>
      <c r="L69" s="147">
        <v>18</v>
      </c>
      <c r="M69" s="304" t="str">
        <f>IF(M39="",R39,IF(M41="","",IF(S41="","",IF(M41&gt;3,M39,IF(S41&gt;3,R39,"")))))</f>
        <v>Ismail Féthi</v>
      </c>
      <c r="N69" s="305"/>
      <c r="O69" s="306"/>
      <c r="P69" s="333"/>
      <c r="Q69" s="334"/>
    </row>
    <row r="70" spans="1:17" ht="21.95" customHeight="1" outlineLevel="1" thickBot="1">
      <c r="A70" s="34"/>
      <c r="F70" s="330"/>
      <c r="G70" s="331"/>
      <c r="H70" s="304" t="str">
        <f>IF(H40="",C40,IF(C41="","",IF(I41="","",IF(C41&gt;3,C40,IF(I41&gt;3,H40,"")))))</f>
        <v>Batoux Sophie</v>
      </c>
      <c r="I70" s="305"/>
      <c r="J70" s="306"/>
      <c r="K70" s="148">
        <v>19</v>
      </c>
      <c r="L70" s="149">
        <v>20</v>
      </c>
      <c r="M70" s="304" t="str">
        <f>IF(M40="",R40,IF(M41="","",IF(S41="","",IF(M41&gt;3,M40,IF(S41&gt;3,R40,"")))))</f>
        <v>Montauriol Ludovic</v>
      </c>
      <c r="N70" s="305"/>
      <c r="O70" s="306"/>
      <c r="P70" s="333"/>
      <c r="Q70" s="334"/>
    </row>
    <row r="71" spans="1:17" ht="21.95" customHeight="1">
      <c r="A71" s="34"/>
      <c r="G71" s="38">
        <f>IF(J71="","",IF(J71&gt;2,1,0))</f>
        <v>1</v>
      </c>
      <c r="H71" s="294">
        <f>IF(J71="","",SUM(G71:G77))</f>
        <v>4</v>
      </c>
      <c r="I71" s="295"/>
      <c r="J71" s="73">
        <v>3</v>
      </c>
      <c r="K71" s="300"/>
      <c r="L71" s="301"/>
      <c r="M71" s="73">
        <v>2</v>
      </c>
      <c r="N71" s="298">
        <f>IF(M71="","",SUM(P71:P77))</f>
        <v>1</v>
      </c>
      <c r="O71" s="294"/>
      <c r="P71" s="58">
        <f>IF(M71="","",IF(M71&gt;2,1,0))</f>
        <v>0</v>
      </c>
    </row>
    <row r="72" spans="1:17" ht="21.95" customHeight="1">
      <c r="A72" s="34"/>
      <c r="G72" s="38">
        <f t="shared" ref="G72:G77" si="14">IF(J72="","",IF(J72&gt;2,1,0))</f>
        <v>1</v>
      </c>
      <c r="H72" s="296"/>
      <c r="I72" s="297"/>
      <c r="J72" s="74">
        <v>3</v>
      </c>
      <c r="K72" s="302"/>
      <c r="L72" s="303"/>
      <c r="M72" s="74">
        <v>2</v>
      </c>
      <c r="N72" s="299"/>
      <c r="O72" s="296"/>
      <c r="P72" s="58">
        <f t="shared" ref="P72:P77" si="15">IF(M72="","",IF(M72&gt;2,1,0))</f>
        <v>0</v>
      </c>
    </row>
    <row r="73" spans="1:17" ht="21.95" customHeight="1">
      <c r="A73" s="34"/>
      <c r="G73" s="38">
        <f t="shared" si="14"/>
        <v>1</v>
      </c>
      <c r="H73" s="296"/>
      <c r="I73" s="297"/>
      <c r="J73" s="74">
        <v>3</v>
      </c>
      <c r="K73" s="302"/>
      <c r="L73" s="303"/>
      <c r="M73" s="74">
        <v>2</v>
      </c>
      <c r="N73" s="299"/>
      <c r="O73" s="296"/>
      <c r="P73" s="58">
        <f t="shared" si="15"/>
        <v>0</v>
      </c>
    </row>
    <row r="74" spans="1:17" ht="21.95" customHeight="1">
      <c r="A74" s="34"/>
      <c r="G74" s="38">
        <f t="shared" si="14"/>
        <v>0</v>
      </c>
      <c r="H74" s="296"/>
      <c r="I74" s="297"/>
      <c r="J74" s="74">
        <v>2</v>
      </c>
      <c r="K74" s="302"/>
      <c r="L74" s="303"/>
      <c r="M74" s="74">
        <v>3</v>
      </c>
      <c r="N74" s="299"/>
      <c r="O74" s="296"/>
      <c r="P74" s="58">
        <f t="shared" si="15"/>
        <v>1</v>
      </c>
    </row>
    <row r="75" spans="1:17" ht="21.95" customHeight="1">
      <c r="A75" s="34"/>
      <c r="G75" s="38">
        <f t="shared" si="14"/>
        <v>1</v>
      </c>
      <c r="H75" s="296"/>
      <c r="I75" s="297"/>
      <c r="J75" s="74">
        <v>4</v>
      </c>
      <c r="K75" s="302"/>
      <c r="L75" s="303"/>
      <c r="M75" s="74">
        <v>1</v>
      </c>
      <c r="N75" s="299"/>
      <c r="O75" s="296"/>
      <c r="P75" s="58">
        <f t="shared" si="15"/>
        <v>0</v>
      </c>
    </row>
    <row r="76" spans="1:17" ht="21.95" customHeight="1">
      <c r="A76" s="34"/>
      <c r="G76" s="38" t="str">
        <f t="shared" si="14"/>
        <v/>
      </c>
      <c r="H76" s="296"/>
      <c r="I76" s="297"/>
      <c r="J76" s="74"/>
      <c r="K76" s="302"/>
      <c r="L76" s="303"/>
      <c r="M76" s="74"/>
      <c r="N76" s="299"/>
      <c r="O76" s="296"/>
      <c r="P76" s="58" t="str">
        <f t="shared" si="15"/>
        <v/>
      </c>
    </row>
    <row r="77" spans="1:17" ht="21.95" customHeight="1" thickBot="1">
      <c r="A77" s="34"/>
      <c r="G77" s="38" t="str">
        <f t="shared" si="14"/>
        <v/>
      </c>
      <c r="H77" s="296"/>
      <c r="I77" s="297"/>
      <c r="J77" s="75"/>
      <c r="K77" s="302"/>
      <c r="L77" s="303"/>
      <c r="M77" s="75"/>
      <c r="N77" s="299"/>
      <c r="O77" s="296"/>
      <c r="P77" s="58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1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B9" sqref="B9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2024/2025
CHAMPIONNAT DE FRANCE DES CLUBS
10 METRES</v>
      </c>
      <c r="B1" s="337"/>
      <c r="C1" s="337"/>
      <c r="D1" s="337"/>
      <c r="E1" s="337"/>
      <c r="F1" s="337"/>
      <c r="G1" s="337"/>
      <c r="H1" s="337"/>
      <c r="I1" s="22"/>
      <c r="J1" s="22"/>
      <c r="K1" s="12"/>
      <c r="L1" s="12"/>
      <c r="M1" s="12"/>
      <c r="N1" s="12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2"/>
      <c r="J2" s="22"/>
      <c r="K2" s="12"/>
      <c r="L2" s="12"/>
      <c r="M2" s="12"/>
      <c r="N2" s="12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2"/>
      <c r="J3" s="22"/>
      <c r="K3" s="12"/>
      <c r="L3" s="12"/>
      <c r="M3" s="12"/>
      <c r="N3" s="12"/>
      <c r="O3" s="4"/>
      <c r="P3" s="4"/>
    </row>
    <row r="4" spans="1:17" s="13" customFormat="1" ht="60" customHeight="1">
      <c r="A4" s="339" t="str">
        <f>CONCATENATE(INFO!B7,"   ",INFO!B9)</f>
        <v>CARABINE 10M   DAUPHINE SAVOIE</v>
      </c>
      <c r="B4" s="339"/>
      <c r="C4" s="339"/>
      <c r="D4" s="339"/>
      <c r="E4" s="339"/>
      <c r="F4" s="339"/>
      <c r="G4" s="339"/>
      <c r="H4" s="339"/>
      <c r="I4" s="23"/>
      <c r="J4" s="23"/>
      <c r="K4" s="12"/>
      <c r="L4" s="16"/>
      <c r="M4" s="16"/>
      <c r="N4" s="16"/>
      <c r="P4" s="17"/>
      <c r="Q4" s="18"/>
    </row>
    <row r="5" spans="1:17" s="13" customFormat="1" ht="23.1" customHeight="1">
      <c r="A5" s="344"/>
      <c r="B5" s="344"/>
      <c r="C5" s="344"/>
      <c r="D5" s="344"/>
      <c r="E5" s="344"/>
      <c r="F5" s="344"/>
      <c r="G5" s="344"/>
      <c r="H5" s="344"/>
      <c r="I5" s="23"/>
      <c r="J5" s="47"/>
      <c r="K5" s="48"/>
      <c r="L5" s="16"/>
      <c r="M5" s="16"/>
      <c r="N5" s="16"/>
      <c r="P5" s="17"/>
      <c r="Q5" s="18"/>
    </row>
    <row r="6" spans="1:17" s="13" customFormat="1" ht="15" customHeight="1">
      <c r="A6" s="46"/>
      <c r="B6" s="46"/>
      <c r="C6" s="46"/>
      <c r="D6" s="46"/>
      <c r="E6" s="46"/>
      <c r="F6" s="46"/>
      <c r="G6" s="46"/>
      <c r="H6" s="46"/>
      <c r="I6" s="23"/>
      <c r="J6" s="47"/>
      <c r="K6" s="48"/>
      <c r="L6" s="16"/>
      <c r="M6" s="16"/>
      <c r="N6" s="16"/>
      <c r="P6" s="17"/>
      <c r="Q6" s="18"/>
    </row>
    <row r="7" spans="1:17" s="13" customFormat="1" ht="62.1" customHeight="1">
      <c r="A7" s="42" t="s">
        <v>9</v>
      </c>
      <c r="B7" s="43" t="s">
        <v>10</v>
      </c>
      <c r="C7" s="43" t="s">
        <v>51</v>
      </c>
      <c r="D7" s="43" t="s">
        <v>31</v>
      </c>
      <c r="E7" s="44" t="s">
        <v>11</v>
      </c>
      <c r="F7" s="61" t="s">
        <v>44</v>
      </c>
      <c r="G7" s="25"/>
      <c r="H7" s="24"/>
      <c r="J7" s="20"/>
      <c r="K7" s="15"/>
      <c r="L7" s="16"/>
      <c r="M7" s="16"/>
      <c r="N7" s="16"/>
      <c r="P7" s="17"/>
      <c r="Q7" s="18"/>
    </row>
    <row r="8" spans="1:17" s="16" customFormat="1" ht="62.1" customHeight="1">
      <c r="A8" s="51">
        <v>1</v>
      </c>
      <c r="B8" s="52" t="str">
        <f>IF(A8="","",IF(P.F.!J71="","",IF(P.F.!H71&gt;3,P.F.!H65,IF(P.F.!N71&gt;3,P.F.!M65,""))))</f>
        <v>LA SALESIENNE 1</v>
      </c>
      <c r="C8" s="52"/>
      <c r="D8" s="54">
        <f>IF(A8="","",IF(B8="","",VLOOKUP(B8,'M Q'!B$7:AI$14,2,0)))</f>
        <v>2074155</v>
      </c>
      <c r="E8" s="222">
        <f>IF(A8="","",IF(B8="","",VLOOKUP(B8,'M Q'!B$7:AI$14,33,0)))</f>
        <v>1464.7</v>
      </c>
      <c r="F8" s="64">
        <f>IF(A8="","",IF(B8="","",VLOOKUP(B8,'M Q'!B$7:AI$14,34,0)))</f>
        <v>0</v>
      </c>
      <c r="G8" s="342" t="s">
        <v>12</v>
      </c>
      <c r="H8" s="19"/>
      <c r="I8" s="15"/>
      <c r="J8" s="14"/>
      <c r="K8" s="14"/>
    </row>
    <row r="9" spans="1:17" s="16" customFormat="1" ht="62.1" customHeight="1">
      <c r="A9" s="51">
        <f>IF(INFO!B8&gt;1,2,"")</f>
        <v>2</v>
      </c>
      <c r="B9" s="52" t="str">
        <f>IF(A9="","",IF(P.F.!M71="","",IF(P.F.!H71&gt;3,P.F.!M65,IF(P.F.!N71&gt;3,P.F.!H65,""))))</f>
        <v>LA SALESIENNE HM</v>
      </c>
      <c r="C9" s="52"/>
      <c r="D9" s="54">
        <f>IF(A9="","",IF(B9="","",VLOOKUP(B9,'M Q'!B$7:AI$14,2,0)))</f>
        <v>2074155</v>
      </c>
      <c r="E9" s="222">
        <f>IF(A9="","",IF(B9="","",VLOOKUP(B9,'M Q'!B$7:AI$14,33,0)))</f>
        <v>1331.1999999999998</v>
      </c>
      <c r="F9" s="64">
        <f>IF(A9="","",IF(B9="","",VLOOKUP(B9,'M Q'!B$7:AI$14,34,0)))</f>
        <v>0</v>
      </c>
      <c r="G9" s="342"/>
      <c r="H9" s="19"/>
      <c r="I9" s="14"/>
      <c r="J9" s="14"/>
      <c r="K9" s="14"/>
    </row>
    <row r="10" spans="1:17" s="16" customFormat="1" ht="62.1" customHeight="1">
      <c r="A10" s="51">
        <f>IF(INFO!B8&gt;2,3,"")</f>
        <v>3</v>
      </c>
      <c r="B10" s="53" t="str">
        <f>IF(A10="","",IF(INFO!B8=3,P.F.!M51,IF(P.F.!J57="","",IF(P.F.!H57&gt;3,P.F.!H51,IF(P.F.!N57&gt;3,P.F.!M51,"")))))</f>
        <v>CTR Rumilly</v>
      </c>
      <c r="C10" s="53"/>
      <c r="D10" s="54">
        <f>IF(A10="","",IF(B10="","",VLOOKUP(B10,'M Q'!B$7:AI$14,2,0)))</f>
        <v>2074059</v>
      </c>
      <c r="E10" s="222">
        <f>IF(A10="","",IF(B10="","",VLOOKUP(B10,'M Q'!B$7:AI$14,33,0)))</f>
        <v>1342.1</v>
      </c>
      <c r="F10" s="64">
        <f>IF(A10="","",IF(B10="","",VLOOKUP(B10,'M Q'!B$7:AI$14,34,0)))</f>
        <v>0</v>
      </c>
      <c r="G10" s="343" t="s">
        <v>32</v>
      </c>
      <c r="H10" s="21"/>
      <c r="K10" s="14"/>
    </row>
    <row r="11" spans="1:17" s="16" customFormat="1" ht="62.1" customHeight="1">
      <c r="A11" s="40" t="str">
        <f>IF(INFO!B8&gt;3,4,"")</f>
        <v/>
      </c>
      <c r="B11" s="39" t="str">
        <f>IF(A11="","",IF(P.F.!M57="","",IF(P.F.!H57&gt;3,P.F.!M51,IF(P.F.!N57&gt;3,P.F.!H51,""))))</f>
        <v/>
      </c>
      <c r="C11" s="39"/>
      <c r="D11" s="54" t="str">
        <f>IF(A11="","",IF(B11="","",VLOOKUP(B11,'M Q'!B$7:AI$14,2,0)))</f>
        <v/>
      </c>
      <c r="E11" s="222" t="str">
        <f>IF(A11="","",IF(B11="","",VLOOKUP(B11,'M Q'!B$7:AI$14,33,0)))</f>
        <v/>
      </c>
      <c r="F11" s="64" t="str">
        <f>IF(A11="","",IF(B11="","",VLOOKUP(B11,'M Q'!B$7:AI$14,34,0)))</f>
        <v/>
      </c>
      <c r="G11" s="343"/>
      <c r="H11" s="21"/>
      <c r="I11" s="14"/>
      <c r="J11" s="340" t="s">
        <v>26</v>
      </c>
      <c r="K11" s="340"/>
      <c r="L11" s="340"/>
      <c r="M11" s="340"/>
    </row>
    <row r="12" spans="1:17" s="16" customFormat="1" ht="62.1" customHeight="1">
      <c r="A12" s="40" t="str">
        <f>IF(INFO!B8&gt;4,5,"")</f>
        <v/>
      </c>
      <c r="B12" s="39" t="str">
        <f>IF(A12="","",VLOOKUP(E12,J$12:M$15,3,0))</f>
        <v/>
      </c>
      <c r="C12" s="39"/>
      <c r="D12" s="55" t="str">
        <f>IF(A12="","",VLOOKUP(E12,J$12:M$15,4,0))</f>
        <v/>
      </c>
      <c r="E12" s="223" t="str">
        <f>IF(A12="","",LARGE(J12:J15,1))</f>
        <v/>
      </c>
      <c r="F12" s="64" t="str">
        <f>IF(A12="","",IF(B12="","",VLOOKUP(B12,'M Q'!B$7:AI$14,34,0)))</f>
        <v/>
      </c>
      <c r="G12" s="341" t="s">
        <v>34</v>
      </c>
      <c r="I12" s="14"/>
      <c r="J12" s="221">
        <f>IF(L12="",0,VLOOKUP(L12,saisie!C$7:AL$26,36,0))</f>
        <v>1464.7000004904903</v>
      </c>
      <c r="K12" s="15">
        <f>VLOOKUP(L12,saisie!C$7:AL$26,34,0)</f>
        <v>0</v>
      </c>
      <c r="L12" s="49" t="str">
        <f>IF(P.F.!E11="","",IF(P.F.!C11&gt;3,P.F.!H5,IF(P.F.!I11&gt;3,P.F.!C5,"")))</f>
        <v>LA SALESIENNE 1</v>
      </c>
      <c r="M12" s="15">
        <f>VLOOKUP(L12,saisie!C$7:AL$26,2,0)</f>
        <v>2074155</v>
      </c>
    </row>
    <row r="13" spans="1:17" s="16" customFormat="1" ht="62.1" customHeight="1">
      <c r="A13" s="40" t="str">
        <f>IF(INFO!B8&gt;5,6,"")</f>
        <v/>
      </c>
      <c r="B13" s="39" t="str">
        <f>IF(A13="","",VLOOKUP(E13,J$12:M$15,3,0))</f>
        <v/>
      </c>
      <c r="C13" s="39"/>
      <c r="D13" s="55" t="str">
        <f>IF(A13="","",VLOOKUP(E13,J$12:M$15,4,0))</f>
        <v/>
      </c>
      <c r="E13" s="223" t="str">
        <f>IF(A13="","",LARGE(J12:J15,2))</f>
        <v/>
      </c>
      <c r="F13" s="64" t="str">
        <f>IF(A13="","",IF(B13="","",VLOOKUP(B13,'M Q'!B$7:AI$14,34,0)))</f>
        <v/>
      </c>
      <c r="G13" s="341"/>
      <c r="J13" s="221">
        <f>IF(L13="",0,VLOOKUP(L13,saisie!C$7:AL$26,36,0))</f>
        <v>0</v>
      </c>
      <c r="K13" s="15" t="e">
        <f>VLOOKUP(L13,saisie!C$7:AL$26,34,0)</f>
        <v>#N/A</v>
      </c>
      <c r="L13" s="49" t="str">
        <f>IF(P.F.!O11="","",IF(P.F.!M11&gt;3,P.F.!R5,IF(P.F.!S11&gt;3,P.F.!M5,"")))</f>
        <v/>
      </c>
      <c r="M13" s="15" t="e">
        <f>VLOOKUP(L13,saisie!C$7:AL$26,2,0)</f>
        <v>#N/A</v>
      </c>
    </row>
    <row r="14" spans="1:17" s="16" customFormat="1" ht="62.1" customHeight="1">
      <c r="A14" s="41" t="str">
        <f>IF(INFO!B8&gt;6,7,"")</f>
        <v/>
      </c>
      <c r="B14" s="39" t="str">
        <f>IF(A14="","",VLOOKUP(E14,J$12:M$15,3,0))</f>
        <v/>
      </c>
      <c r="C14" s="39"/>
      <c r="D14" s="55" t="str">
        <f>IF(A14="","",VLOOKUP(E14,J$12:M$15,4,0))</f>
        <v/>
      </c>
      <c r="E14" s="223" t="str">
        <f>IF(A14="","",LARGE(J12:J15,3))</f>
        <v/>
      </c>
      <c r="F14" s="64" t="str">
        <f>IF(A14="","",IF(B14="","",VLOOKUP(B14,'M Q'!B$7:AI$14,34,0)))</f>
        <v/>
      </c>
      <c r="G14" s="341"/>
      <c r="I14" s="14"/>
      <c r="J14" s="221">
        <f>IF(L14="",0,VLOOKUP(L14,saisie!C$7:AL$26,36,0))</f>
        <v>0</v>
      </c>
      <c r="K14" s="15" t="e">
        <f>VLOOKUP(L14,saisie!C$7:AL$26,34,0)</f>
        <v>#N/A</v>
      </c>
      <c r="L14" s="49" t="str">
        <f>IF(P.F.!H25="","",IF(P.F.!C25&gt;3,P.F.!H19,IF(P.F.!I25&gt;3,P.F.!C19,"")))</f>
        <v/>
      </c>
      <c r="M14" s="15" t="e">
        <f>VLOOKUP(L14,saisie!C$7:AL$26,2,0)</f>
        <v>#N/A</v>
      </c>
      <c r="O14" s="14"/>
      <c r="P14" s="14"/>
    </row>
    <row r="15" spans="1:17" s="16" customFormat="1" ht="62.1" customHeight="1">
      <c r="A15" s="40" t="str">
        <f>IF(INFO!B8&gt;7,8,"")</f>
        <v/>
      </c>
      <c r="B15" s="39" t="str">
        <f>IF(A15="","",VLOOKUP(E15,J$12:M$15,3,0))</f>
        <v/>
      </c>
      <c r="C15" s="39"/>
      <c r="D15" s="55" t="str">
        <f>IF(A15="","",VLOOKUP(E15,J$12:M$15,4,0))</f>
        <v/>
      </c>
      <c r="E15" s="223" t="str">
        <f>IF(A15="","",LARGE(J12:J15,4))</f>
        <v/>
      </c>
      <c r="F15" s="64" t="str">
        <f>IF(A15="","",IF(B15="","",VLOOKUP(B15,'M Q'!B$7:AI$14,34,0)))</f>
        <v/>
      </c>
      <c r="G15" s="341"/>
      <c r="I15" s="14"/>
      <c r="J15" s="221">
        <f>IF(L15="",0,VLOOKUP(L15,saisie!C$7:AL$26,36,0))</f>
        <v>0</v>
      </c>
      <c r="K15" s="15" t="e">
        <f>VLOOKUP(L15,saisie!C$7:AL$26,34,0)</f>
        <v>#N/A</v>
      </c>
      <c r="L15" s="49" t="str">
        <f>IF(P.F.!R25="","",IF(P.F.!M25&gt;3,P.F.!R19,IF(P.F.!S25&gt;3,P.F.!M19,"")))</f>
        <v/>
      </c>
      <c r="M15" s="15" t="e">
        <f>VLOOKUP(L15,saisie!C$7:AL$26,2,0)</f>
        <v>#N/A</v>
      </c>
      <c r="O15" s="19"/>
      <c r="P15" s="14"/>
      <c r="Q15" s="14"/>
    </row>
    <row r="16" spans="1:17" s="16" customFormat="1" ht="62.1" customHeight="1">
      <c r="A16" s="40" t="str">
        <f>IF(INFO!B8&gt;8,9,"")</f>
        <v/>
      </c>
      <c r="B16" s="39" t="str">
        <f>IF(A16="","",IF('M Q'!AE15="","",'M Q'!B15))</f>
        <v/>
      </c>
      <c r="C16" s="39"/>
      <c r="D16" s="55" t="str">
        <f>IF(A16="","",IF('M Q'!AE15="","",'M Q'!C15))</f>
        <v/>
      </c>
      <c r="E16" s="223" t="str">
        <f>IF(A16="","",IF('M Q'!AE15="","",'M Q'!AH15))</f>
        <v/>
      </c>
      <c r="F16" s="62" t="str">
        <f>IF(A16="","",IF('M Q'!AE15="","",'M Q'!AI15))</f>
        <v/>
      </c>
      <c r="G16" s="14"/>
      <c r="I16" s="14"/>
      <c r="J16" s="14"/>
      <c r="K16" s="15"/>
      <c r="L16" s="19"/>
      <c r="M16" s="19"/>
      <c r="N16" s="19"/>
      <c r="O16" s="19"/>
      <c r="P16" s="14"/>
      <c r="Q16" s="14"/>
    </row>
    <row r="17" spans="1:17" s="16" customFormat="1" ht="62.1" customHeight="1">
      <c r="A17" s="41" t="str">
        <f>IF(INFO!B8&gt;9,10,"")</f>
        <v/>
      </c>
      <c r="B17" s="39" t="str">
        <f>IF(A17="","",IF('M Q'!AE16="","",'M Q'!B16))</f>
        <v/>
      </c>
      <c r="C17" s="39"/>
      <c r="D17" s="55" t="str">
        <f>IF(A17="","",IF('M Q'!AE16="","",'M Q'!C16))</f>
        <v/>
      </c>
      <c r="E17" s="223" t="str">
        <f>IF(A17="","",IF('M Q'!AE16="","",'M Q'!AH16))</f>
        <v/>
      </c>
      <c r="F17" s="62" t="str">
        <f>IF(A17="","",IF('M Q'!AE16="","",'M Q'!AI16))</f>
        <v/>
      </c>
      <c r="G17" s="14"/>
      <c r="I17" s="14"/>
      <c r="J17" s="72"/>
      <c r="K17" s="72"/>
      <c r="L17" s="72"/>
      <c r="M17" s="72"/>
      <c r="N17" s="19"/>
      <c r="O17" s="19"/>
      <c r="P17" s="14"/>
      <c r="Q17" s="14"/>
    </row>
    <row r="18" spans="1:17" s="16" customFormat="1" ht="62.1" customHeight="1">
      <c r="A18" s="40" t="str">
        <f>IF(INFO!B8&gt;10,11,"")</f>
        <v/>
      </c>
      <c r="B18" s="39" t="str">
        <f>IF(A18="","",IF('M Q'!AE17="","",'M Q'!B17))</f>
        <v/>
      </c>
      <c r="C18" s="39"/>
      <c r="D18" s="55" t="str">
        <f>IF(A18="","",IF('M Q'!AE17="","",'M Q'!C17))</f>
        <v/>
      </c>
      <c r="E18" s="223" t="str">
        <f>IF(A18="","",IF('M Q'!AE17="","",'M Q'!AH17))</f>
        <v/>
      </c>
      <c r="F18" s="62" t="str">
        <f>IF(A18="","",IF('M Q'!AE17="","",'M Q'!AI17))</f>
        <v/>
      </c>
      <c r="G18" s="14"/>
      <c r="I18" s="14"/>
      <c r="J18" s="72"/>
      <c r="K18" s="72"/>
      <c r="L18" s="72"/>
      <c r="M18" s="72"/>
      <c r="N18" s="19"/>
      <c r="O18" s="19"/>
      <c r="P18" s="14"/>
      <c r="Q18" s="14"/>
    </row>
    <row r="19" spans="1:17" s="16" customFormat="1" ht="62.1" customHeight="1">
      <c r="A19" s="41" t="str">
        <f>IF(INFO!B8&gt;11,12,"")</f>
        <v/>
      </c>
      <c r="B19" s="39" t="str">
        <f>IF(A19="","",IF('M Q'!AE18="","",'M Q'!B18))</f>
        <v/>
      </c>
      <c r="C19" s="39"/>
      <c r="D19" s="55" t="str">
        <f>IF(A19="","",IF('M Q'!AE18="","",'M Q'!C18))</f>
        <v/>
      </c>
      <c r="E19" s="223" t="str">
        <f>IF(A19="","",IF('M Q'!AE18="","",'M Q'!AH18))</f>
        <v/>
      </c>
      <c r="F19" s="62" t="str">
        <f>IF(A19="","",IF('M Q'!AE18="","",'M Q'!AI18))</f>
        <v/>
      </c>
      <c r="G19" s="14"/>
      <c r="I19" s="14"/>
      <c r="J19" s="72"/>
      <c r="K19" s="72"/>
      <c r="L19" s="72"/>
      <c r="M19" s="72"/>
      <c r="N19" s="19"/>
      <c r="O19" s="19"/>
      <c r="P19" s="14"/>
      <c r="Q19" s="14"/>
    </row>
    <row r="20" spans="1:17" s="16" customFormat="1" ht="62.1" customHeight="1">
      <c r="A20" s="40" t="str">
        <f>IF(INFO!B8&gt;12,13,"")</f>
        <v/>
      </c>
      <c r="B20" s="39" t="str">
        <f>IF(A20="","",IF('M Q'!AE19="","",'M Q'!B19))</f>
        <v/>
      </c>
      <c r="C20" s="39"/>
      <c r="D20" s="55" t="str">
        <f>IF(A20="","",IF('M Q'!AE19="","",'M Q'!C19))</f>
        <v/>
      </c>
      <c r="E20" s="223" t="str">
        <f>IF(A20="","",IF('M Q'!AE19="","",'M Q'!AH19))</f>
        <v/>
      </c>
      <c r="F20" s="62" t="str">
        <f>IF(A20="","",IF('M Q'!AE19="","",'M Q'!AI19))</f>
        <v/>
      </c>
      <c r="G20" s="14"/>
      <c r="I20" s="14"/>
      <c r="J20" s="14"/>
      <c r="K20" s="15"/>
      <c r="L20" s="19"/>
      <c r="M20" s="19"/>
      <c r="N20" s="19"/>
      <c r="O20" s="19"/>
      <c r="P20" s="14"/>
      <c r="Q20" s="14"/>
    </row>
    <row r="21" spans="1:17" s="16" customFormat="1" ht="62.1" customHeight="1">
      <c r="A21" s="41" t="str">
        <f>IF(INFO!B8&gt;13,14,"")</f>
        <v/>
      </c>
      <c r="B21" s="39" t="str">
        <f>IF(A21="","",IF('M Q'!AE20="","",'M Q'!B20))</f>
        <v/>
      </c>
      <c r="C21" s="39"/>
      <c r="D21" s="55" t="str">
        <f>IF(A21="","",IF('M Q'!AE20="","",'M Q'!C20))</f>
        <v/>
      </c>
      <c r="E21" s="223" t="str">
        <f>IF(A21="","",IF('M Q'!AE20="","",'M Q'!AH20))</f>
        <v/>
      </c>
      <c r="F21" s="62" t="str">
        <f>IF(A21="","",IF('M Q'!AE20="","",'M Q'!AI20))</f>
        <v/>
      </c>
      <c r="G21" s="14"/>
      <c r="I21" s="14"/>
      <c r="J21" s="14"/>
      <c r="K21" s="15"/>
      <c r="L21" s="19"/>
      <c r="M21" s="19"/>
      <c r="N21" s="19"/>
      <c r="O21" s="19"/>
      <c r="P21" s="14"/>
      <c r="Q21" s="14"/>
    </row>
    <row r="22" spans="1:17" s="16" customFormat="1" ht="62.1" customHeight="1">
      <c r="A22" s="40" t="str">
        <f>IF(INFO!B8&gt;14,15,"")</f>
        <v/>
      </c>
      <c r="B22" s="39" t="str">
        <f>IF(A22="","",IF('M Q'!AE21="","",'M Q'!B21))</f>
        <v/>
      </c>
      <c r="C22" s="39"/>
      <c r="D22" s="55" t="str">
        <f>IF(A22="","",IF('M Q'!AE21="","",'M Q'!C21))</f>
        <v/>
      </c>
      <c r="E22" s="223" t="str">
        <f>IF(A22="","",IF('M Q'!AE21="","",'M Q'!AH21))</f>
        <v/>
      </c>
      <c r="F22" s="62" t="str">
        <f>IF(A22="","",IF('M Q'!AE21="","",'M Q'!AI21))</f>
        <v/>
      </c>
      <c r="G22" s="14"/>
      <c r="I22" s="14"/>
      <c r="J22" s="14"/>
      <c r="K22" s="15"/>
      <c r="L22" s="19"/>
      <c r="M22" s="19"/>
      <c r="N22" s="19"/>
      <c r="O22" s="19"/>
      <c r="P22" s="14"/>
      <c r="Q22" s="14"/>
    </row>
    <row r="23" spans="1:17" s="16" customFormat="1" ht="62.1" customHeight="1">
      <c r="A23" s="41" t="str">
        <f>IF(INFO!B8&gt;15,16,"")</f>
        <v/>
      </c>
      <c r="B23" s="39" t="str">
        <f>IF(A23="","",IF('M Q'!AE22="","",'M Q'!B22))</f>
        <v/>
      </c>
      <c r="C23" s="39"/>
      <c r="D23" s="55" t="str">
        <f>IF(A23="","",IF('M Q'!AE22="","",'M Q'!C22))</f>
        <v/>
      </c>
      <c r="E23" s="223" t="str">
        <f>IF(A23="","",IF('M Q'!AE22="","",'M Q'!AH22))</f>
        <v/>
      </c>
      <c r="F23" s="62" t="str">
        <f>IF(A23="","",IF('M Q'!AE22="","",'M Q'!AI22))</f>
        <v/>
      </c>
      <c r="G23" s="14"/>
      <c r="I23" s="14"/>
      <c r="J23" s="14"/>
      <c r="K23" s="15"/>
      <c r="L23" s="19"/>
      <c r="M23" s="19"/>
      <c r="N23" s="19"/>
      <c r="O23" s="19"/>
      <c r="P23" s="14"/>
      <c r="Q23" s="14"/>
    </row>
    <row r="24" spans="1:17" s="16" customFormat="1" ht="62.1" customHeight="1">
      <c r="A24" s="50" t="str">
        <f>IF(INFO!B8&gt;16,17,"")</f>
        <v/>
      </c>
      <c r="B24" s="39" t="str">
        <f>IF(A24="","",IF('M Q'!AE23="","",'M Q'!B23))</f>
        <v/>
      </c>
      <c r="C24" s="39"/>
      <c r="D24" s="55" t="str">
        <f>IF(A24="","",IF('M Q'!AE23="","",'M Q'!C23))</f>
        <v/>
      </c>
      <c r="E24" s="223" t="str">
        <f>IF(A24="","",IF('M Q'!AE23="","",'M Q'!AH23))</f>
        <v/>
      </c>
      <c r="F24" s="62" t="str">
        <f>IF(A24="","",IF('M Q'!AE23="","",'M Q'!AI23))</f>
        <v/>
      </c>
      <c r="G24" s="14"/>
      <c r="I24" s="14"/>
      <c r="J24" s="14"/>
      <c r="K24" s="15"/>
      <c r="L24" s="19"/>
      <c r="M24" s="19"/>
      <c r="N24" s="19"/>
      <c r="O24" s="19"/>
      <c r="P24" s="14"/>
      <c r="Q24" s="14"/>
    </row>
    <row r="25" spans="1:17" s="16" customFormat="1" ht="62.1" customHeight="1">
      <c r="A25" s="41" t="str">
        <f>IF(INFO!B8&gt;17,18,"")</f>
        <v/>
      </c>
      <c r="B25" s="39" t="str">
        <f>IF(A25="","",IF('M Q'!AE24="","",'M Q'!B24))</f>
        <v/>
      </c>
      <c r="C25" s="39"/>
      <c r="D25" s="55" t="str">
        <f>IF(A25="","",IF('M Q'!AE24="","",'M Q'!C24))</f>
        <v/>
      </c>
      <c r="E25" s="223" t="str">
        <f>IF(A25="","",IF('M Q'!AE24="","",'M Q'!AH24))</f>
        <v/>
      </c>
      <c r="F25" s="62" t="str">
        <f>IF(A25="","",IF('M Q'!AE24="","",'M Q'!AI24))</f>
        <v/>
      </c>
      <c r="G25" s="14"/>
      <c r="I25" s="14"/>
      <c r="J25" s="14"/>
      <c r="K25" s="15"/>
      <c r="L25" s="19"/>
      <c r="M25" s="19"/>
      <c r="N25" s="19"/>
      <c r="O25" s="19"/>
      <c r="P25" s="14"/>
      <c r="Q25" s="14"/>
    </row>
    <row r="26" spans="1:17" s="16" customFormat="1" ht="62.1" customHeight="1">
      <c r="A26" s="40" t="str">
        <f>IF(INFO!B8&gt;18,19,"")</f>
        <v/>
      </c>
      <c r="B26" s="39" t="str">
        <f>IF(A26="","",IF('M Q'!AE25="","",'M Q'!B25))</f>
        <v/>
      </c>
      <c r="C26" s="39"/>
      <c r="D26" s="55" t="str">
        <f>IF(A26="","",IF('M Q'!AE25="","",'M Q'!C25))</f>
        <v/>
      </c>
      <c r="E26" s="223" t="str">
        <f>IF(A26="","",IF('M Q'!AE25="","",'M Q'!AH25))</f>
        <v/>
      </c>
      <c r="F26" s="62" t="str">
        <f>IF(A26="","",IF('M Q'!AE25="","",'M Q'!AI25))</f>
        <v/>
      </c>
      <c r="G26" s="14"/>
      <c r="I26" s="14"/>
      <c r="J26" s="14"/>
      <c r="K26" s="15"/>
      <c r="L26" s="19"/>
      <c r="M26" s="19"/>
      <c r="N26" s="19"/>
      <c r="O26" s="19"/>
      <c r="P26" s="14"/>
      <c r="Q26" s="14"/>
    </row>
    <row r="27" spans="1:17" s="16" customFormat="1" ht="62.1" customHeight="1">
      <c r="A27" s="41" t="str">
        <f>IF(INFO!B8&gt;19,20,"")</f>
        <v/>
      </c>
      <c r="B27" s="39" t="str">
        <f>IF(A27="","",IF('M Q'!AE26="","",'M Q'!B26))</f>
        <v/>
      </c>
      <c r="C27" s="39"/>
      <c r="D27" s="55" t="str">
        <f>IF(A27="","",IF('M Q'!AE26="","",'M Q'!C26))</f>
        <v/>
      </c>
      <c r="E27" s="223" t="str">
        <f>IF(A27="","",IF('M Q'!AE26="","",'M Q'!AH26))</f>
        <v/>
      </c>
      <c r="F27" s="62" t="str">
        <f>IF(A27="","",IF('M Q'!AE26="","",'M Q'!AI26))</f>
        <v/>
      </c>
      <c r="G27" s="14"/>
      <c r="I27" s="14"/>
      <c r="J27" s="14"/>
      <c r="K27" s="15"/>
      <c r="L27" s="19"/>
      <c r="M27" s="19"/>
      <c r="N27" s="19"/>
      <c r="O27" s="19"/>
      <c r="P27" s="14"/>
      <c r="Q27" s="14"/>
    </row>
    <row r="28" spans="1:17" s="13" customFormat="1" ht="30" customHeight="1"/>
    <row r="29" spans="1:17" s="13" customFormat="1" ht="30" customHeight="1"/>
    <row r="30" spans="1:17" s="13" customFormat="1" ht="30" customHeight="1"/>
    <row r="31" spans="1:17" s="13" customFormat="1" ht="30" customHeight="1"/>
    <row r="32" spans="1:17" s="13" customFormat="1" ht="30" customHeight="1"/>
    <row r="33" s="13" customFormat="1" ht="30" customHeight="1"/>
    <row r="34" s="13" customFormat="1" ht="30" customHeight="1"/>
    <row r="35" s="13" customFormat="1" ht="30" customHeight="1"/>
    <row r="36" s="13" customFormat="1" ht="30" customHeight="1"/>
    <row r="37" s="13" customFormat="1" ht="30" customHeight="1"/>
    <row r="38" s="13" customFormat="1" ht="30" customHeight="1"/>
    <row r="39" s="13" customFormat="1" ht="30" customHeight="1"/>
    <row r="40" s="13" customFormat="1" ht="30" customHeight="1"/>
    <row r="41" s="13" customFormat="1" ht="30" customHeight="1"/>
    <row r="42" s="13" customFormat="1" ht="30" customHeight="1"/>
    <row r="43" s="13" customFormat="1" ht="30" customHeight="1"/>
    <row r="44" s="13" customFormat="1" ht="30" customHeight="1"/>
    <row r="45" s="13" customFormat="1" ht="30" customHeight="1"/>
    <row r="46" s="13" customFormat="1" ht="30" customHeight="1"/>
    <row r="47" s="13" customFormat="1" ht="30" customHeight="1"/>
    <row r="48" s="13" customFormat="1" ht="30" customHeight="1"/>
    <row r="49" s="13" customFormat="1" ht="30" customHeight="1"/>
    <row r="50" s="13" customFormat="1" ht="30" customHeight="1"/>
    <row r="51" s="13" customFormat="1" ht="30" customHeight="1"/>
    <row r="52" s="13" customFormat="1" ht="30" customHeight="1"/>
    <row r="53" s="13" customFormat="1" ht="30" customHeight="1"/>
    <row r="54" s="13" customFormat="1" ht="30" customHeight="1"/>
    <row r="55" s="13" customFormat="1" ht="30" customHeight="1"/>
    <row r="56" s="13" customFormat="1" ht="30" customHeight="1"/>
    <row r="57" s="13" customFormat="1" ht="30" customHeight="1"/>
    <row r="58" s="13" customFormat="1" ht="30" customHeight="1"/>
    <row r="59" s="13" customFormat="1" ht="30" customHeight="1"/>
    <row r="60" s="13" customFormat="1" ht="30" customHeight="1"/>
    <row r="61" s="13" customFormat="1" ht="30" customHeight="1"/>
    <row r="62" s="13" customFormat="1" ht="30" customHeight="1"/>
    <row r="63" s="13" customFormat="1" ht="30" customHeight="1"/>
    <row r="64" s="13" customFormat="1" ht="30" customHeight="1"/>
    <row r="65" s="13" customFormat="1" ht="30" customHeight="1"/>
    <row r="66" s="13" customFormat="1" ht="30" customHeight="1"/>
    <row r="67" s="13" customFormat="1" ht="30" customHeight="1"/>
    <row r="68" s="13" customFormat="1" ht="30" customHeight="1"/>
    <row r="69" s="13" customFormat="1" ht="30" customHeight="1"/>
    <row r="70" s="13" customFormat="1" ht="30" customHeight="1"/>
    <row r="71" s="13" customFormat="1" ht="30" customHeight="1"/>
    <row r="72" s="13" customFormat="1" ht="30" customHeight="1"/>
    <row r="73" s="13" customFormat="1" ht="30" customHeight="1"/>
    <row r="74" s="13" customFormat="1" ht="30" customHeight="1"/>
    <row r="75" s="13" customFormat="1" ht="30" customHeight="1"/>
    <row r="76" s="13" customFormat="1" ht="30" customHeight="1"/>
    <row r="77" s="13" customFormat="1" ht="30" customHeight="1"/>
    <row r="78" s="13" customFormat="1" ht="30" customHeight="1"/>
    <row r="79" s="13" customFormat="1" ht="30" customHeight="1"/>
    <row r="80" s="13" customFormat="1" ht="30" customHeight="1"/>
    <row r="81" s="13" customFormat="1" ht="30" customHeight="1"/>
    <row r="82" s="13" customFormat="1" ht="30" customHeight="1"/>
    <row r="83" s="13" customFormat="1" ht="30" customHeight="1"/>
    <row r="84" s="13" customFormat="1" ht="30" customHeight="1"/>
    <row r="85" s="13" customFormat="1" ht="30" customHeight="1"/>
    <row r="86" s="13" customFormat="1" ht="30" customHeight="1"/>
    <row r="87" s="13" customFormat="1" ht="30" customHeight="1"/>
    <row r="88" s="13" customFormat="1" ht="30" customHeight="1"/>
    <row r="89" s="13" customFormat="1" ht="30" customHeight="1"/>
    <row r="90" s="13" customFormat="1" ht="23.25"/>
    <row r="91" s="13" customFormat="1" ht="23.25"/>
    <row r="92" s="13" customFormat="1" ht="23.25"/>
    <row r="93" s="13" customFormat="1" ht="23.25"/>
    <row r="94" s="13" customFormat="1" ht="23.25"/>
    <row r="95" s="13" customFormat="1" ht="23.25"/>
    <row r="96" s="13" customFormat="1" ht="23.25"/>
    <row r="97" s="13" customFormat="1" ht="23.25"/>
    <row r="98" s="13" customFormat="1" ht="23.25"/>
    <row r="99" s="13" customFormat="1" ht="23.25"/>
    <row r="100" s="13" customFormat="1" ht="23.25"/>
    <row r="101" s="13" customFormat="1" ht="23.25"/>
    <row r="102" s="13" customFormat="1" ht="23.25"/>
    <row r="103" s="13" customFormat="1" ht="23.25"/>
    <row r="104" s="13" customFormat="1" ht="23.25"/>
    <row r="105" s="13" customFormat="1" ht="23.25"/>
    <row r="106" s="13" customFormat="1" ht="23.25"/>
    <row r="107" s="13" customFormat="1" ht="23.25"/>
    <row r="108" s="13" customFormat="1" ht="23.25"/>
    <row r="109" s="13" customFormat="1" ht="23.25"/>
    <row r="110" s="13" customFormat="1" ht="23.25"/>
    <row r="111" s="13" customFormat="1" ht="23.25"/>
    <row r="112" s="13" customFormat="1" ht="23.25"/>
    <row r="113" s="13" customFormat="1" ht="23.25"/>
    <row r="114" s="13" customFormat="1" ht="23.25"/>
    <row r="115" s="13" customFormat="1" ht="23.25"/>
    <row r="116" s="13" customFormat="1" ht="23.25"/>
    <row r="117" s="13" customFormat="1" ht="23.25"/>
    <row r="118" s="13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cdtir74@gmail.com</cp:lastModifiedBy>
  <cp:lastPrinted>2025-01-12T12:04:11Z</cp:lastPrinted>
  <dcterms:created xsi:type="dcterms:W3CDTF">2004-11-19T11:01:00Z</dcterms:created>
  <dcterms:modified xsi:type="dcterms:W3CDTF">2025-01-12T13:16:49Z</dcterms:modified>
</cp:coreProperties>
</file>